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enne_projektmappe"/>
  <mc:AlternateContent xmlns:mc="http://schemas.openxmlformats.org/markup-compatibility/2006">
    <mc:Choice Requires="x15">
      <x15ac:absPath xmlns:x15ac="http://schemas.microsoft.com/office/spreadsheetml/2010/11/ac" url="O:\FA_FSE\Administration, ledelse og fælles mappe\Værktøjer og skabeloner\Budgetskabeloner\DK Public\DFF\Fra E-Grant E2020\"/>
    </mc:Choice>
  </mc:AlternateContent>
  <workbookProtection workbookAlgorithmName="SHA-512" workbookHashValue="Y4FarCfsGarFyBrpTQifvIrnODhUOC7MBkIzq85BUmM8WaxDk5qMV+VaMEdY3QA/nVERUwBOZ3a1jucEmtpaSw==" workbookSaltValue="beUeDe4wQn3MhiAKEyARWg==" workbookSpinCount="100000" lockStructure="1"/>
  <bookViews>
    <workbookView xWindow="0" yWindow="0" windowWidth="28800" windowHeight="13500" tabRatio="636"/>
  </bookViews>
  <sheets>
    <sheet name="Budget" sheetId="1" r:id="rId1"/>
    <sheet name="Institution Tables" sheetId="27" state="hidden" r:id="rId2"/>
    <sheet name="Instructions" sheetId="25" r:id="rId3"/>
    <sheet name="Lookups" sheetId="2" state="hidden" r:id="rId4"/>
    <sheet name="Partnere" sheetId="3" state="hidden" r:id="rId5"/>
    <sheet name="Poster" sheetId="19" state="hidden" r:id="rId6"/>
    <sheet name="Udbetalingsplan" sheetId="28" state="hidden" r:id="rId7"/>
    <sheet name="Validators" sheetId="18" state="hidden" r:id="rId8"/>
    <sheet name="Versionering" sheetId="26" state="hidden" r:id="rId9"/>
    <sheet name="Overview - Participants" sheetId="7" r:id="rId10"/>
    <sheet name="Print_B15 Participants" sheetId="16" state="hidden" r:id="rId11"/>
    <sheet name="Overview - Expenses" sheetId="12" r:id="rId12"/>
    <sheet name="Print_B16 Expenses" sheetId="9" state="hidden" r:id="rId13"/>
    <sheet name="Overhead rates table" sheetId="21" r:id="rId14"/>
  </sheets>
  <definedNames>
    <definedName name="_xlnm._FilterDatabase" localSheetId="0" hidden="1">Budget!$A$10:$J$22</definedName>
    <definedName name="AJ">Budget!$X$27</definedName>
    <definedName name="Ansøgningsfrist">Validators!$I$2</definedName>
    <definedName name="AntalPost">COUNTIF(Budget!$A$26:'Budget'!$A$40,"Postdoc")</definedName>
    <definedName name="AnvenderUdbetalingsplan">INDEX(OrganisationstyperTabel[Udbetalingsplan], MATCH(Partnere!$S$2, OrganisationstyperTabel[Kode], 0))</definedName>
    <definedName name="ApplicantFirstName">IF(Budget!$D$5="","",Budget!$D$5)</definedName>
    <definedName name="ApplicantSurname">IF(Budget!$F$5="","",Budget!$F$5)</definedName>
    <definedName name="CoFinancingE">Budget!$N$54:$N$63</definedName>
    <definedName name="CoFinancingP">Budget!$S$27:$S$40</definedName>
    <definedName name="EighthYearP">Budget!$O$27:$O$40</definedName>
    <definedName name="EightYearE">Budget!$K$54:$K$63</definedName>
    <definedName name="EndDate">DATE(2022, 1, 1)</definedName>
    <definedName name="Expenses">Budget!$A$54:$A$63</definedName>
    <definedName name="FifthYearE">Budget!$H$54:$H$63</definedName>
    <definedName name="FifthYearP">Budget!$L$27:$L$40</definedName>
    <definedName name="FirstDate">DATE(2016, 11, 1)</definedName>
    <definedName name="Firstname">Budget!$E$26:$E$40</definedName>
    <definedName name="FirstYear">2021</definedName>
    <definedName name="FirstYearE">Budget!$D$54:$D$63</definedName>
    <definedName name="FirstYearP">Budget!$H$27:$H$40</definedName>
    <definedName name="FourthYearE">Budget!$G$54:$G$63</definedName>
    <definedName name="FourthYearP">Budget!$K$27:$K$40</definedName>
    <definedName name="InsitutionE">Budget!$B$54:$B$63</definedName>
    <definedName name="InsitutionP">Budget!$B$27:$B$40</definedName>
    <definedName name="InsitutionT">Budget!$C$10:$X$11</definedName>
    <definedName name="NinthYearE">Budget!$L$54:$L$63</definedName>
    <definedName name="NinthYearP">Budget!$P$27:$P$40</definedName>
    <definedName name="OtherE">Budget!$O$54:$O$63</definedName>
    <definedName name="OtherP">Budget!$U$27:$U$40</definedName>
    <definedName name="OverheadT">Budget!$C$10:$X$14</definedName>
    <definedName name="OverTreMillioner">AND(Budget!$B$77&lt;&gt;"", Budget!$B$77&gt;3000000)</definedName>
    <definedName name="Participants">Budget!$A$26:$A$40</definedName>
    <definedName name="Participants2">Budget!$A$27:$A$40</definedName>
    <definedName name="PnrA">Budget!$C$16</definedName>
    <definedName name="PnrEt">Budget!$E$16</definedName>
    <definedName name="PnrFem">Budget!$M$16</definedName>
    <definedName name="PnrFire">Budget!$K$16</definedName>
    <definedName name="PnrNi">Budget!$U$16</definedName>
    <definedName name="PnrOtte">Budget!$S$16</definedName>
    <definedName name="PnrSeks">Budget!$O$16</definedName>
    <definedName name="PnrSyv">Budget!$Q$16</definedName>
    <definedName name="PnrTi">Budget!$W$16</definedName>
    <definedName name="PnrTo">Budget!$G$16</definedName>
    <definedName name="PnrTre">Budget!$I$16</definedName>
    <definedName name="Position">Budget!$D$26:$D$40</definedName>
    <definedName name="ProjektSlut">Budget!$C$7</definedName>
    <definedName name="ProjektStart">Budget!$C$6</definedName>
    <definedName name="SecondYearE">Budget!$E$54:$E$63</definedName>
    <definedName name="SecondYearP">Budget!$I$27:$I$40</definedName>
    <definedName name="SeventhYearE">Budget!$J$54:$J$63</definedName>
    <definedName name="SeventhYearP">Budget!$N$27:$N$40</definedName>
    <definedName name="SixthYearE">Budget!$I$54:$I$63</definedName>
    <definedName name="SixthYearP">Budget!$M$27:$M$40</definedName>
    <definedName name="SLUTÅR">IF(YEAR(ProjektSlut)=YEAR(Budget!XFD48),TRUE,FALSE)</definedName>
    <definedName name="Surname">Budget!$F$26:$F$40</definedName>
    <definedName name="ThirdYearE">Budget!$F$54:$F$63</definedName>
    <definedName name="ThirdYearP">Budget!$J$27:$J$40</definedName>
    <definedName name="_xlnm.Print_Area" localSheetId="9">'Overview - Participants'!$A$1:$S$21</definedName>
    <definedName name="_xlnm.Print_Area" localSheetId="12">'Print_B16 Expenses'!$A$1:$H$28</definedName>
    <definedName name="_xlnm.Print_Titles" localSheetId="9">'Overview - Participants'!$5:$5</definedName>
    <definedName name="_xlnm.Print_Titles" localSheetId="10">'Print_B15 Participants'!$5:$5</definedName>
  </definedNames>
  <calcPr calcId="162913"/>
</workbook>
</file>

<file path=xl/calcChain.xml><?xml version="1.0" encoding="utf-8"?>
<calcChain xmlns="http://schemas.openxmlformats.org/spreadsheetml/2006/main">
  <c r="C8" i="1" l="1"/>
  <c r="P370" i="19" l="1"/>
  <c r="P371" i="19"/>
  <c r="P372" i="19"/>
  <c r="P373" i="19"/>
  <c r="P374" i="19"/>
  <c r="P375" i="19"/>
  <c r="P376" i="19"/>
  <c r="P377" i="19"/>
  <c r="P378" i="19"/>
  <c r="P379" i="19"/>
  <c r="P380" i="19"/>
  <c r="P381" i="19"/>
  <c r="P382" i="19"/>
  <c r="P369" i="19"/>
  <c r="P355" i="19"/>
  <c r="P356" i="19"/>
  <c r="P357" i="19"/>
  <c r="P358" i="19"/>
  <c r="P359" i="19"/>
  <c r="P360" i="19"/>
  <c r="P361" i="19"/>
  <c r="P362" i="19"/>
  <c r="P363" i="19"/>
  <c r="P364" i="19"/>
  <c r="P365" i="19"/>
  <c r="P366" i="19"/>
  <c r="P367" i="19"/>
  <c r="P354" i="19"/>
  <c r="P340" i="19"/>
  <c r="P341" i="19"/>
  <c r="P342" i="19"/>
  <c r="P343" i="19"/>
  <c r="P344" i="19"/>
  <c r="P345" i="19"/>
  <c r="P346" i="19"/>
  <c r="P347" i="19"/>
  <c r="P348" i="19"/>
  <c r="P349" i="19"/>
  <c r="P350" i="19"/>
  <c r="P351" i="19"/>
  <c r="P352" i="19"/>
  <c r="P339" i="19"/>
  <c r="AL40" i="1"/>
  <c r="AL28" i="1"/>
  <c r="AL29" i="1"/>
  <c r="AL30" i="1"/>
  <c r="AL31" i="1"/>
  <c r="AL32" i="1"/>
  <c r="AL33" i="1"/>
  <c r="AL34" i="1"/>
  <c r="AL35" i="1"/>
  <c r="AL36" i="1"/>
  <c r="AL37" i="1"/>
  <c r="AL38" i="1"/>
  <c r="AL39" i="1"/>
  <c r="AL27" i="1"/>
  <c r="B67" i="1" l="1"/>
  <c r="B75" i="1"/>
  <c r="B74" i="1"/>
  <c r="B73" i="1"/>
  <c r="B72" i="1"/>
  <c r="B71" i="1"/>
  <c r="B70" i="1"/>
  <c r="B69" i="1"/>
  <c r="B68" i="1"/>
  <c r="P67" i="27" l="1"/>
  <c r="P66" i="27"/>
  <c r="P65" i="27"/>
  <c r="P64" i="27"/>
  <c r="P63" i="27"/>
  <c r="P62" i="27"/>
  <c r="P61" i="27"/>
  <c r="P60" i="27"/>
  <c r="P53" i="27"/>
  <c r="P52" i="27"/>
  <c r="P51" i="27"/>
  <c r="P50" i="27"/>
  <c r="P49" i="27"/>
  <c r="P48" i="27"/>
  <c r="P47" i="27"/>
  <c r="P46" i="27"/>
  <c r="P39" i="27"/>
  <c r="P38" i="27"/>
  <c r="P37" i="27"/>
  <c r="P36" i="27"/>
  <c r="P35" i="27"/>
  <c r="P34" i="27"/>
  <c r="P33" i="27"/>
  <c r="P32" i="27"/>
  <c r="P25" i="27"/>
  <c r="P24" i="27"/>
  <c r="P23" i="27"/>
  <c r="P22" i="27"/>
  <c r="P21" i="27"/>
  <c r="P20" i="27"/>
  <c r="P19" i="27"/>
  <c r="P18" i="27"/>
  <c r="P11" i="27"/>
  <c r="P10" i="27"/>
  <c r="P9" i="27"/>
  <c r="P8" i="27"/>
  <c r="P7" i="27"/>
  <c r="P6" i="27"/>
  <c r="P5" i="27"/>
  <c r="P4" i="27"/>
  <c r="B81" i="27"/>
  <c r="B80" i="27"/>
  <c r="B79" i="27"/>
  <c r="B78" i="27"/>
  <c r="B77" i="27"/>
  <c r="B76" i="27"/>
  <c r="B75" i="27"/>
  <c r="B74" i="27"/>
  <c r="B67" i="27"/>
  <c r="B66" i="27"/>
  <c r="B65" i="27"/>
  <c r="B64" i="27"/>
  <c r="B63" i="27"/>
  <c r="B62" i="27"/>
  <c r="B61" i="27"/>
  <c r="B60" i="27"/>
  <c r="B53" i="27"/>
  <c r="B52" i="27"/>
  <c r="B51" i="27"/>
  <c r="B50" i="27"/>
  <c r="B49" i="27"/>
  <c r="B48" i="27"/>
  <c r="B47" i="27"/>
  <c r="B46" i="27"/>
  <c r="B39" i="27"/>
  <c r="B38" i="27"/>
  <c r="B37" i="27"/>
  <c r="B36" i="27"/>
  <c r="B35" i="27"/>
  <c r="B34" i="27"/>
  <c r="B33" i="27"/>
  <c r="B32" i="27"/>
  <c r="B25" i="27"/>
  <c r="B24" i="27"/>
  <c r="B23" i="27"/>
  <c r="B22" i="27"/>
  <c r="B21" i="27"/>
  <c r="B20" i="27"/>
  <c r="B19" i="27"/>
  <c r="B18" i="27"/>
  <c r="B11" i="27"/>
  <c r="B10" i="27"/>
  <c r="B9" i="27"/>
  <c r="B8" i="27"/>
  <c r="B7" i="27"/>
  <c r="B6" i="27"/>
  <c r="B5" i="27"/>
  <c r="B4" i="27"/>
  <c r="B3" i="27"/>
  <c r="F11" i="28" l="1"/>
  <c r="F10" i="28"/>
  <c r="F12" i="28"/>
  <c r="E11" i="28" l="1"/>
  <c r="E10" i="28"/>
  <c r="M59" i="1"/>
  <c r="M55" i="1"/>
  <c r="M56" i="1"/>
  <c r="M57" i="1"/>
  <c r="M58" i="1"/>
  <c r="M60" i="1"/>
  <c r="M61" i="1"/>
  <c r="M62" i="1"/>
  <c r="M63" i="1"/>
  <c r="M54" i="1"/>
  <c r="C11" i="28" l="1"/>
  <c r="C10" i="28"/>
  <c r="Q37" i="1"/>
  <c r="Q36" i="1"/>
  <c r="Q35" i="1"/>
  <c r="Q32" i="1"/>
  <c r="Q33" i="1"/>
  <c r="Q34" i="1"/>
  <c r="Q38" i="1"/>
  <c r="Q39" i="1"/>
  <c r="Q40" i="1"/>
  <c r="Q31" i="1"/>
  <c r="Q30" i="1"/>
  <c r="Q29" i="1"/>
  <c r="Q28" i="1"/>
  <c r="Q27" i="1"/>
  <c r="Q26" i="1"/>
  <c r="X20" i="27" l="1"/>
  <c r="X19" i="27"/>
  <c r="X18" i="27"/>
  <c r="I244" i="19"/>
  <c r="I172" i="19"/>
  <c r="I154" i="19"/>
  <c r="I145" i="19"/>
  <c r="I127" i="19"/>
  <c r="I82" i="19"/>
  <c r="I37" i="19"/>
  <c r="I325" i="19"/>
  <c r="H325" i="19"/>
  <c r="I324" i="19"/>
  <c r="H324" i="19"/>
  <c r="I316" i="19"/>
  <c r="H316" i="19"/>
  <c r="I315" i="19"/>
  <c r="H315" i="19"/>
  <c r="I307" i="19"/>
  <c r="H307" i="19"/>
  <c r="I306" i="19"/>
  <c r="H306" i="19"/>
  <c r="I298" i="19"/>
  <c r="H298" i="19"/>
  <c r="I297" i="19"/>
  <c r="H297" i="19"/>
  <c r="H299" i="19"/>
  <c r="I299" i="19"/>
  <c r="I289" i="19"/>
  <c r="H289" i="19"/>
  <c r="I288" i="19"/>
  <c r="H288" i="19"/>
  <c r="I280" i="19"/>
  <c r="H280" i="19"/>
  <c r="I279" i="19"/>
  <c r="H279" i="19"/>
  <c r="I271" i="19"/>
  <c r="H271" i="19"/>
  <c r="I270" i="19"/>
  <c r="H270" i="19"/>
  <c r="I262" i="19"/>
  <c r="H262" i="19"/>
  <c r="I261" i="19"/>
  <c r="H261" i="19"/>
  <c r="I253" i="19"/>
  <c r="H253" i="19"/>
  <c r="H254" i="19"/>
  <c r="I252" i="19"/>
  <c r="H252" i="19"/>
  <c r="H244" i="19"/>
  <c r="I243" i="19"/>
  <c r="H243" i="19"/>
  <c r="I235" i="19"/>
  <c r="H235" i="19"/>
  <c r="I234" i="19"/>
  <c r="H234" i="19"/>
  <c r="Y66" i="27"/>
  <c r="Y65" i="27"/>
  <c r="Y64" i="27"/>
  <c r="Y62" i="27"/>
  <c r="Y61" i="27"/>
  <c r="Y60" i="27"/>
  <c r="X66" i="27"/>
  <c r="X65" i="27"/>
  <c r="X64" i="27"/>
  <c r="X62" i="27"/>
  <c r="X61" i="27"/>
  <c r="X60" i="27"/>
  <c r="K72" i="27"/>
  <c r="J72" i="27"/>
  <c r="Y52" i="27"/>
  <c r="Y51" i="27"/>
  <c r="Y50" i="27"/>
  <c r="Y48" i="27"/>
  <c r="Y47" i="27"/>
  <c r="Y46" i="27"/>
  <c r="X52" i="27"/>
  <c r="X51" i="27"/>
  <c r="X50" i="27"/>
  <c r="X48" i="27"/>
  <c r="X47" i="27"/>
  <c r="X46" i="27"/>
  <c r="Y38" i="27"/>
  <c r="Y37" i="27"/>
  <c r="Y36" i="27"/>
  <c r="Y34" i="27"/>
  <c r="Y33" i="27"/>
  <c r="Y32" i="27"/>
  <c r="X38" i="27"/>
  <c r="X37" i="27"/>
  <c r="X36" i="27"/>
  <c r="X34" i="27"/>
  <c r="X33" i="27"/>
  <c r="X32" i="27"/>
  <c r="Y24" i="27"/>
  <c r="Y23" i="27"/>
  <c r="Y22" i="27"/>
  <c r="Y20" i="27"/>
  <c r="Y19" i="27"/>
  <c r="Y18" i="27"/>
  <c r="X24" i="27"/>
  <c r="X22" i="27"/>
  <c r="X23" i="27"/>
  <c r="Y58" i="27"/>
  <c r="X58" i="27"/>
  <c r="Y44" i="27"/>
  <c r="X44" i="27"/>
  <c r="Y30" i="27"/>
  <c r="X30" i="27"/>
  <c r="Y16" i="27"/>
  <c r="X16" i="27"/>
  <c r="Y10" i="27"/>
  <c r="Y9" i="27"/>
  <c r="Y8" i="27"/>
  <c r="Y6" i="27"/>
  <c r="Y5" i="27"/>
  <c r="Y4" i="27"/>
  <c r="X10" i="27"/>
  <c r="X9" i="27"/>
  <c r="X8" i="27"/>
  <c r="X6" i="27"/>
  <c r="X5" i="27"/>
  <c r="X4" i="27"/>
  <c r="K80" i="27"/>
  <c r="K79" i="27"/>
  <c r="K78" i="27"/>
  <c r="K76" i="27"/>
  <c r="K75" i="27"/>
  <c r="K74" i="27"/>
  <c r="J80" i="27"/>
  <c r="J79" i="27"/>
  <c r="J78" i="27"/>
  <c r="J76" i="27"/>
  <c r="J75" i="27"/>
  <c r="J74" i="27"/>
  <c r="K66" i="27"/>
  <c r="K65" i="27"/>
  <c r="K64" i="27"/>
  <c r="K62" i="27"/>
  <c r="K61" i="27"/>
  <c r="K60" i="27"/>
  <c r="J66" i="27"/>
  <c r="J65" i="27"/>
  <c r="J64" i="27"/>
  <c r="J62" i="27"/>
  <c r="J61" i="27"/>
  <c r="J60" i="27"/>
  <c r="H71" i="1"/>
  <c r="K10" i="27"/>
  <c r="L64" i="27"/>
  <c r="K52" i="27"/>
  <c r="K51" i="27"/>
  <c r="K50" i="27"/>
  <c r="K48" i="27"/>
  <c r="K47" i="27"/>
  <c r="K46" i="27"/>
  <c r="J52" i="27"/>
  <c r="J51" i="27"/>
  <c r="J50" i="27"/>
  <c r="J48" i="27"/>
  <c r="J47" i="27"/>
  <c r="J46" i="27"/>
  <c r="K38" i="27"/>
  <c r="K37" i="27"/>
  <c r="K36" i="27"/>
  <c r="K34" i="27"/>
  <c r="K33" i="27"/>
  <c r="K32" i="27"/>
  <c r="J38" i="27"/>
  <c r="J37" i="27"/>
  <c r="J36" i="27"/>
  <c r="J34" i="27"/>
  <c r="J33" i="27"/>
  <c r="J32" i="27"/>
  <c r="K24" i="27"/>
  <c r="K23" i="27"/>
  <c r="K22" i="27"/>
  <c r="K20" i="27"/>
  <c r="K19" i="27"/>
  <c r="J25" i="27"/>
  <c r="J24" i="27"/>
  <c r="J23" i="27"/>
  <c r="J22" i="27"/>
  <c r="J21" i="27"/>
  <c r="J20" i="27"/>
  <c r="J19" i="27"/>
  <c r="K18" i="27"/>
  <c r="Y63" i="27" l="1"/>
  <c r="Y67" i="27" s="1"/>
  <c r="X63" i="27"/>
  <c r="X67" i="27" s="1"/>
  <c r="Y49" i="27"/>
  <c r="Y53" i="27" s="1"/>
  <c r="X49" i="27"/>
  <c r="X53" i="27" s="1"/>
  <c r="Y35" i="27"/>
  <c r="Y39" i="27" s="1"/>
  <c r="X35" i="27"/>
  <c r="X39" i="27" s="1"/>
  <c r="Y21" i="27"/>
  <c r="Y25" i="27" s="1"/>
  <c r="X21" i="27"/>
  <c r="X25" i="27" s="1"/>
  <c r="Y7" i="27"/>
  <c r="Y11" i="27" s="1"/>
  <c r="X7" i="27"/>
  <c r="X11" i="27" s="1"/>
  <c r="K77" i="27"/>
  <c r="K81" i="27" s="1"/>
  <c r="J77" i="27"/>
  <c r="J81" i="27" s="1"/>
  <c r="K63" i="27"/>
  <c r="K67" i="27" s="1"/>
  <c r="J63" i="27"/>
  <c r="J67" i="27" s="1"/>
  <c r="K49" i="27"/>
  <c r="K53" i="27" s="1"/>
  <c r="J49" i="27"/>
  <c r="J53" i="27" s="1"/>
  <c r="K35" i="27"/>
  <c r="K39" i="27" s="1"/>
  <c r="J35" i="27"/>
  <c r="J39" i="27" s="1"/>
  <c r="J18" i="27" l="1"/>
  <c r="J74" i="1"/>
  <c r="J72" i="1"/>
  <c r="K21" i="27"/>
  <c r="K25" i="27" s="1"/>
  <c r="I68" i="1"/>
  <c r="K66" i="1"/>
  <c r="J66" i="1"/>
  <c r="K74" i="1"/>
  <c r="K73" i="1"/>
  <c r="J73" i="1"/>
  <c r="K72" i="1"/>
  <c r="K70" i="1"/>
  <c r="J70" i="1"/>
  <c r="K69" i="1"/>
  <c r="J69" i="1"/>
  <c r="K68" i="1"/>
  <c r="K67" i="1"/>
  <c r="J67" i="1"/>
  <c r="K58" i="27"/>
  <c r="J58" i="27"/>
  <c r="K44" i="27"/>
  <c r="J44" i="27"/>
  <c r="K30" i="27"/>
  <c r="J30" i="27"/>
  <c r="K16" i="27"/>
  <c r="J16" i="27"/>
  <c r="Y2" i="27"/>
  <c r="X2" i="27"/>
  <c r="J5" i="27"/>
  <c r="I5" i="27"/>
  <c r="K9" i="27"/>
  <c r="K8" i="27"/>
  <c r="K6" i="27"/>
  <c r="K5" i="27"/>
  <c r="K4" i="27"/>
  <c r="J10" i="27"/>
  <c r="J9" i="27"/>
  <c r="J8" i="27"/>
  <c r="J6" i="27"/>
  <c r="J4" i="27"/>
  <c r="I4" i="27"/>
  <c r="K3" i="27"/>
  <c r="J3" i="27"/>
  <c r="K2" i="27"/>
  <c r="J2" i="27"/>
  <c r="I226" i="19"/>
  <c r="H226" i="19"/>
  <c r="I225" i="19"/>
  <c r="H225" i="19"/>
  <c r="B226" i="19"/>
  <c r="B225" i="19"/>
  <c r="D226" i="19"/>
  <c r="D225" i="19"/>
  <c r="I217" i="19"/>
  <c r="H217" i="19"/>
  <c r="I216" i="19"/>
  <c r="H216" i="19"/>
  <c r="B217" i="19"/>
  <c r="B216" i="19"/>
  <c r="D217" i="19"/>
  <c r="D216" i="19"/>
  <c r="I208" i="19"/>
  <c r="H208" i="19"/>
  <c r="I207" i="19"/>
  <c r="H207" i="19"/>
  <c r="B208" i="19"/>
  <c r="B207" i="19"/>
  <c r="D208" i="19"/>
  <c r="D207" i="19"/>
  <c r="I199" i="19"/>
  <c r="H199" i="19"/>
  <c r="I198" i="19"/>
  <c r="H198" i="19"/>
  <c r="B199" i="19"/>
  <c r="B198" i="19"/>
  <c r="D199" i="19"/>
  <c r="D198" i="19"/>
  <c r="I190" i="19"/>
  <c r="H190" i="19"/>
  <c r="I189" i="19"/>
  <c r="H189" i="19"/>
  <c r="B190" i="19"/>
  <c r="B189" i="19"/>
  <c r="D190" i="19"/>
  <c r="D189" i="19"/>
  <c r="I181" i="19"/>
  <c r="H181" i="19"/>
  <c r="I180" i="19"/>
  <c r="H180" i="19"/>
  <c r="P54" i="1"/>
  <c r="B181" i="19"/>
  <c r="B180" i="19"/>
  <c r="D181" i="19"/>
  <c r="D180" i="19"/>
  <c r="H172" i="19"/>
  <c r="I171" i="19"/>
  <c r="H171" i="19"/>
  <c r="B172" i="19"/>
  <c r="B171" i="19"/>
  <c r="D172" i="19"/>
  <c r="D171" i="19"/>
  <c r="I163" i="19"/>
  <c r="H163" i="19"/>
  <c r="I162" i="19"/>
  <c r="H162" i="19"/>
  <c r="B163" i="19"/>
  <c r="B162" i="19"/>
  <c r="D163" i="19"/>
  <c r="D162" i="19"/>
  <c r="H154" i="19"/>
  <c r="I153" i="19"/>
  <c r="H153" i="19"/>
  <c r="B154" i="19"/>
  <c r="B153" i="19"/>
  <c r="D154" i="19"/>
  <c r="D153" i="19"/>
  <c r="H145" i="19"/>
  <c r="I144" i="19"/>
  <c r="H144" i="19"/>
  <c r="B145" i="19"/>
  <c r="B144" i="19"/>
  <c r="B146" i="19"/>
  <c r="D145" i="19"/>
  <c r="D144" i="19"/>
  <c r="I136" i="19"/>
  <c r="H136" i="19"/>
  <c r="I135" i="19"/>
  <c r="H135" i="19"/>
  <c r="B136" i="19"/>
  <c r="B135" i="19"/>
  <c r="D136" i="19"/>
  <c r="D135" i="19"/>
  <c r="H127" i="19"/>
  <c r="I126" i="19"/>
  <c r="H126" i="19"/>
  <c r="B127" i="19"/>
  <c r="B126" i="19"/>
  <c r="D127" i="19"/>
  <c r="D126" i="19"/>
  <c r="I118" i="19"/>
  <c r="H118" i="19"/>
  <c r="I117" i="19"/>
  <c r="H117" i="19"/>
  <c r="B118" i="19"/>
  <c r="B117" i="19"/>
  <c r="D118" i="19"/>
  <c r="D117" i="19"/>
  <c r="I109" i="19"/>
  <c r="H109" i="19"/>
  <c r="I108" i="19"/>
  <c r="H108" i="19"/>
  <c r="B109" i="19"/>
  <c r="B108" i="19"/>
  <c r="D109" i="19"/>
  <c r="D108" i="19"/>
  <c r="I100" i="19"/>
  <c r="H100" i="19"/>
  <c r="I99" i="19"/>
  <c r="H99" i="19"/>
  <c r="B100" i="19"/>
  <c r="B99" i="19"/>
  <c r="D100" i="19"/>
  <c r="D99" i="19"/>
  <c r="I91" i="19"/>
  <c r="H91" i="19"/>
  <c r="I90" i="19"/>
  <c r="H90" i="19"/>
  <c r="B91" i="19"/>
  <c r="B90" i="19"/>
  <c r="D91" i="19"/>
  <c r="D90" i="19"/>
  <c r="I64" i="19"/>
  <c r="H82" i="19"/>
  <c r="I81" i="19"/>
  <c r="H81" i="19"/>
  <c r="B82" i="19"/>
  <c r="B81" i="19"/>
  <c r="D82" i="19"/>
  <c r="D81" i="19"/>
  <c r="I73" i="19"/>
  <c r="H73" i="19"/>
  <c r="I72" i="19"/>
  <c r="H72" i="19"/>
  <c r="H74" i="19"/>
  <c r="B73" i="19"/>
  <c r="B72" i="19"/>
  <c r="D73" i="19"/>
  <c r="D72" i="19"/>
  <c r="H64" i="19"/>
  <c r="I63" i="19"/>
  <c r="H63" i="19"/>
  <c r="B64" i="19"/>
  <c r="B63" i="19"/>
  <c r="D64" i="19"/>
  <c r="D63" i="19"/>
  <c r="I55" i="19"/>
  <c r="H55" i="19"/>
  <c r="I54" i="19"/>
  <c r="H54" i="19"/>
  <c r="B55" i="19"/>
  <c r="B54" i="19"/>
  <c r="D55" i="19"/>
  <c r="D54" i="19"/>
  <c r="K71" i="1" l="1"/>
  <c r="K75" i="1" s="1"/>
  <c r="J68" i="1"/>
  <c r="J71" i="1" s="1"/>
  <c r="J75" i="1" s="1"/>
  <c r="K7" i="27"/>
  <c r="J7" i="27"/>
  <c r="J11" i="27" s="1"/>
  <c r="I46" i="19"/>
  <c r="H46" i="19"/>
  <c r="I45" i="19"/>
  <c r="H45" i="19"/>
  <c r="B46" i="19"/>
  <c r="B45" i="19"/>
  <c r="D46" i="19"/>
  <c r="D45" i="19"/>
  <c r="H37" i="19"/>
  <c r="I36" i="19"/>
  <c r="H36" i="19"/>
  <c r="B37" i="19"/>
  <c r="B35" i="19"/>
  <c r="B36" i="19"/>
  <c r="D37" i="19"/>
  <c r="D36" i="19"/>
  <c r="I28" i="19"/>
  <c r="H28" i="19"/>
  <c r="I27" i="19"/>
  <c r="H27" i="19"/>
  <c r="H19" i="19"/>
  <c r="I19" i="19"/>
  <c r="I18" i="19"/>
  <c r="H18" i="19"/>
  <c r="I10" i="19"/>
  <c r="H10" i="19"/>
  <c r="I9" i="19"/>
  <c r="H9" i="19"/>
  <c r="H24" i="19"/>
  <c r="B28" i="19"/>
  <c r="B27" i="19"/>
  <c r="B19" i="19"/>
  <c r="B18" i="19"/>
  <c r="D28" i="19"/>
  <c r="D27" i="19"/>
  <c r="D19" i="19"/>
  <c r="D18" i="19"/>
  <c r="B10" i="19"/>
  <c r="B9" i="19"/>
  <c r="L53" i="1" l="1"/>
  <c r="K53" i="1"/>
  <c r="P25" i="1"/>
  <c r="O25" i="1"/>
  <c r="B45" i="1" l="1" a="1"/>
  <c r="B45" i="1" s="1"/>
  <c r="A45" i="1" a="1"/>
  <c r="A45" i="1" s="1"/>
  <c r="C4" i="27"/>
  <c r="P338" i="19" l="1"/>
  <c r="P353" i="19"/>
  <c r="P368" i="19"/>
  <c r="E26" i="1" l="1"/>
  <c r="C21" i="1" l="1"/>
  <c r="C12" i="1" l="1"/>
  <c r="G12" i="1" l="1"/>
  <c r="E12" i="1"/>
  <c r="I12" i="1"/>
  <c r="C27" i="1" l="1"/>
  <c r="A18" i="19" l="1"/>
  <c r="A19" i="19"/>
  <c r="G13" i="28"/>
  <c r="E12" i="28" l="1"/>
  <c r="C12" i="28" s="1"/>
  <c r="F9" i="28"/>
  <c r="F8" i="28"/>
  <c r="F7" i="28"/>
  <c r="E7" i="28" s="1"/>
  <c r="C7" i="28" s="1"/>
  <c r="F6" i="28"/>
  <c r="E6" i="28" s="1"/>
  <c r="C6" i="28" s="1"/>
  <c r="F5" i="28"/>
  <c r="E5" i="28" s="1"/>
  <c r="C5" i="28" s="1"/>
  <c r="E2" i="28"/>
  <c r="E3" i="28"/>
  <c r="E4" i="28"/>
  <c r="E13" i="28"/>
  <c r="F4" i="28"/>
  <c r="E8" i="28" l="1"/>
  <c r="C8" i="28" s="1"/>
  <c r="E9" i="28"/>
  <c r="C9" i="28" s="1"/>
  <c r="C13" i="28"/>
  <c r="C3" i="28"/>
  <c r="B5" i="19" l="1"/>
  <c r="E45" i="1" l="1"/>
  <c r="I25" i="1"/>
  <c r="H25" i="1"/>
  <c r="C15" i="1" l="1"/>
  <c r="C16" i="1"/>
  <c r="I66" i="1" l="1"/>
  <c r="C5" i="27" l="1"/>
  <c r="Q4" i="27"/>
  <c r="C18" i="27"/>
  <c r="Q18" i="27"/>
  <c r="C32" i="27"/>
  <c r="Q32" i="27"/>
  <c r="C46" i="27"/>
  <c r="Q46" i="27"/>
  <c r="C60" i="27"/>
  <c r="Q60" i="27"/>
  <c r="C74" i="27"/>
  <c r="I6" i="16"/>
  <c r="D80" i="1"/>
  <c r="E14" i="1"/>
  <c r="F80" i="1"/>
  <c r="H80" i="1"/>
  <c r="G14" i="1"/>
  <c r="I14" i="1"/>
  <c r="J80" i="1"/>
  <c r="K14" i="1"/>
  <c r="I40" i="27" s="1"/>
  <c r="B269" i="19" s="1"/>
  <c r="L80" i="1"/>
  <c r="M14" i="1"/>
  <c r="N80" i="1"/>
  <c r="O14" i="1"/>
  <c r="I54" i="27" s="1"/>
  <c r="B287" i="19" s="1"/>
  <c r="P80" i="1"/>
  <c r="Q14" i="1"/>
  <c r="R80" i="1"/>
  <c r="S14" i="1"/>
  <c r="D68" i="27" s="1"/>
  <c r="T80" i="1"/>
  <c r="U14" i="1"/>
  <c r="V80" i="1"/>
  <c r="W14" i="1"/>
  <c r="D82" i="27" s="1"/>
  <c r="B318" i="19" s="1"/>
  <c r="X80" i="1"/>
  <c r="I9" i="27"/>
  <c r="W9" i="27"/>
  <c r="I23" i="27"/>
  <c r="W23" i="27"/>
  <c r="I37" i="27"/>
  <c r="W37" i="27"/>
  <c r="I51" i="27"/>
  <c r="W51" i="27"/>
  <c r="I65" i="27"/>
  <c r="W65" i="27"/>
  <c r="I79" i="27"/>
  <c r="I10" i="27"/>
  <c r="W10" i="27"/>
  <c r="I24" i="27"/>
  <c r="W24" i="27"/>
  <c r="I38" i="27"/>
  <c r="W38" i="27"/>
  <c r="I52" i="27"/>
  <c r="W52" i="27"/>
  <c r="I66" i="27"/>
  <c r="W66" i="27"/>
  <c r="I80" i="27"/>
  <c r="W5" i="27"/>
  <c r="I19" i="27"/>
  <c r="W19" i="27"/>
  <c r="I33" i="27"/>
  <c r="W33" i="27"/>
  <c r="I47" i="27"/>
  <c r="W47" i="27"/>
  <c r="I61" i="27"/>
  <c r="W61" i="27"/>
  <c r="I75" i="27"/>
  <c r="I6" i="27"/>
  <c r="W6" i="27"/>
  <c r="I20" i="27"/>
  <c r="W20" i="27"/>
  <c r="I34" i="27"/>
  <c r="W34" i="27"/>
  <c r="I48" i="27"/>
  <c r="W48" i="27"/>
  <c r="I62" i="27"/>
  <c r="W62" i="27"/>
  <c r="I76" i="27"/>
  <c r="H5" i="27"/>
  <c r="V5" i="27"/>
  <c r="H19" i="27"/>
  <c r="V19" i="27"/>
  <c r="H33" i="27"/>
  <c r="V33" i="27"/>
  <c r="H47" i="27"/>
  <c r="V47" i="27"/>
  <c r="H61" i="27"/>
  <c r="V61" i="27"/>
  <c r="H75" i="27"/>
  <c r="H6" i="27"/>
  <c r="V6" i="27"/>
  <c r="H20" i="27"/>
  <c r="V20" i="27"/>
  <c r="H34" i="27"/>
  <c r="V34" i="27"/>
  <c r="H48" i="27"/>
  <c r="V48" i="27"/>
  <c r="H62" i="27"/>
  <c r="V62" i="27"/>
  <c r="H76" i="27"/>
  <c r="G5" i="27"/>
  <c r="U5" i="27"/>
  <c r="G19" i="27"/>
  <c r="U19" i="27"/>
  <c r="G33" i="27"/>
  <c r="U33" i="27"/>
  <c r="G47" i="27"/>
  <c r="U47" i="27"/>
  <c r="G61" i="27"/>
  <c r="U61" i="27"/>
  <c r="G75" i="27"/>
  <c r="G6" i="27"/>
  <c r="U6" i="27"/>
  <c r="G20" i="27"/>
  <c r="U20" i="27"/>
  <c r="G34" i="27"/>
  <c r="U34" i="27"/>
  <c r="G48" i="27"/>
  <c r="U48" i="27"/>
  <c r="G62" i="27"/>
  <c r="U62" i="27"/>
  <c r="G76" i="27"/>
  <c r="F5" i="27"/>
  <c r="T5" i="27"/>
  <c r="F19" i="27"/>
  <c r="T19" i="27"/>
  <c r="F33" i="27"/>
  <c r="T33" i="27"/>
  <c r="F47" i="27"/>
  <c r="T47" i="27"/>
  <c r="F61" i="27"/>
  <c r="T61" i="27"/>
  <c r="F75" i="27"/>
  <c r="F6" i="27"/>
  <c r="T6" i="27"/>
  <c r="F20" i="27"/>
  <c r="T20" i="27"/>
  <c r="F34" i="27"/>
  <c r="T34" i="27"/>
  <c r="F48" i="27"/>
  <c r="T48" i="27"/>
  <c r="F62" i="27"/>
  <c r="T62" i="27"/>
  <c r="F76" i="27"/>
  <c r="E5" i="27"/>
  <c r="S5" i="27"/>
  <c r="E19" i="27"/>
  <c r="S19" i="27"/>
  <c r="E33" i="27"/>
  <c r="S33" i="27"/>
  <c r="E47" i="27"/>
  <c r="S47" i="27"/>
  <c r="E61" i="27"/>
  <c r="S61" i="27"/>
  <c r="E75" i="27"/>
  <c r="E6" i="27"/>
  <c r="S6" i="27"/>
  <c r="E20" i="27"/>
  <c r="S20" i="27"/>
  <c r="E34" i="27"/>
  <c r="S34" i="27"/>
  <c r="E48" i="27"/>
  <c r="S48" i="27"/>
  <c r="E62" i="27"/>
  <c r="S62" i="27"/>
  <c r="E76" i="27"/>
  <c r="D5" i="27"/>
  <c r="R5" i="27"/>
  <c r="D19" i="27"/>
  <c r="R19" i="27"/>
  <c r="D33" i="27"/>
  <c r="R33" i="27"/>
  <c r="D47" i="27"/>
  <c r="R47" i="27"/>
  <c r="D61" i="27"/>
  <c r="R61" i="27"/>
  <c r="D75" i="27"/>
  <c r="D6" i="27"/>
  <c r="R6" i="27"/>
  <c r="D20" i="27"/>
  <c r="R20" i="27"/>
  <c r="D34" i="27"/>
  <c r="R34" i="27"/>
  <c r="D48" i="27"/>
  <c r="R48" i="27"/>
  <c r="D62" i="27"/>
  <c r="R62" i="27"/>
  <c r="D76" i="27"/>
  <c r="D8" i="27"/>
  <c r="R8" i="27"/>
  <c r="D22" i="27"/>
  <c r="R22" i="27"/>
  <c r="D36" i="27"/>
  <c r="R36" i="27"/>
  <c r="D50" i="27"/>
  <c r="R50" i="27"/>
  <c r="D64" i="27"/>
  <c r="R64" i="27"/>
  <c r="D78" i="27"/>
  <c r="E8" i="27"/>
  <c r="S8" i="27"/>
  <c r="E22" i="27"/>
  <c r="S22" i="27"/>
  <c r="E36" i="27"/>
  <c r="S36" i="27"/>
  <c r="E50" i="27"/>
  <c r="S50" i="27"/>
  <c r="E64" i="27"/>
  <c r="S64" i="27"/>
  <c r="E78" i="27"/>
  <c r="F8" i="27"/>
  <c r="T8" i="27"/>
  <c r="F22" i="27"/>
  <c r="T22" i="27"/>
  <c r="F36" i="27"/>
  <c r="T36" i="27"/>
  <c r="F50" i="27"/>
  <c r="T50" i="27"/>
  <c r="F64" i="27"/>
  <c r="T64" i="27"/>
  <c r="F78" i="27"/>
  <c r="G8" i="27"/>
  <c r="U8" i="27"/>
  <c r="G22" i="27"/>
  <c r="U22" i="27"/>
  <c r="G36" i="27"/>
  <c r="U36" i="27"/>
  <c r="G50" i="27"/>
  <c r="U50" i="27"/>
  <c r="G64" i="27"/>
  <c r="U64" i="27"/>
  <c r="G78" i="27"/>
  <c r="H8" i="27"/>
  <c r="V8" i="27"/>
  <c r="H22" i="27"/>
  <c r="V22" i="27"/>
  <c r="H36" i="27"/>
  <c r="V36" i="27"/>
  <c r="H50" i="27"/>
  <c r="V50" i="27"/>
  <c r="H64" i="27"/>
  <c r="V64" i="27"/>
  <c r="H78" i="27"/>
  <c r="I8" i="27"/>
  <c r="W8" i="27"/>
  <c r="I22" i="27"/>
  <c r="W22" i="27"/>
  <c r="I36" i="27"/>
  <c r="W36" i="27"/>
  <c r="I50" i="27"/>
  <c r="W50" i="27"/>
  <c r="I64" i="27"/>
  <c r="W64" i="27"/>
  <c r="I78" i="27"/>
  <c r="D4" i="27"/>
  <c r="R4" i="27"/>
  <c r="D18" i="27"/>
  <c r="R18" i="27"/>
  <c r="D32" i="27"/>
  <c r="R32" i="27"/>
  <c r="D46" i="27"/>
  <c r="R46" i="27"/>
  <c r="D60" i="27"/>
  <c r="R60" i="27"/>
  <c r="D74" i="27"/>
  <c r="E4" i="27"/>
  <c r="S4" i="27"/>
  <c r="E18" i="27"/>
  <c r="S18" i="27"/>
  <c r="E32" i="27"/>
  <c r="S32" i="27"/>
  <c r="E46" i="27"/>
  <c r="S46" i="27"/>
  <c r="E60" i="27"/>
  <c r="S60" i="27"/>
  <c r="E74" i="27"/>
  <c r="F4" i="27"/>
  <c r="T4" i="27"/>
  <c r="F18" i="27"/>
  <c r="T18" i="27"/>
  <c r="F32" i="27"/>
  <c r="T32" i="27"/>
  <c r="F46" i="27"/>
  <c r="T46" i="27"/>
  <c r="F60" i="27"/>
  <c r="T60" i="27"/>
  <c r="F74" i="27"/>
  <c r="G4" i="27"/>
  <c r="U4" i="27"/>
  <c r="G18" i="27"/>
  <c r="U18" i="27"/>
  <c r="G32" i="27"/>
  <c r="U32" i="27"/>
  <c r="G46" i="27"/>
  <c r="U46" i="27"/>
  <c r="G60" i="27"/>
  <c r="U60" i="27"/>
  <c r="G74" i="27"/>
  <c r="H4" i="27"/>
  <c r="V4" i="27"/>
  <c r="H18" i="27"/>
  <c r="V18" i="27"/>
  <c r="H32" i="27"/>
  <c r="V32" i="27"/>
  <c r="H46" i="27"/>
  <c r="V46" i="27"/>
  <c r="H60" i="27"/>
  <c r="V60" i="27"/>
  <c r="H74" i="27"/>
  <c r="W4" i="27"/>
  <c r="I18" i="27"/>
  <c r="W18" i="27"/>
  <c r="I32" i="27"/>
  <c r="W32" i="27"/>
  <c r="I46" i="27"/>
  <c r="W46" i="27"/>
  <c r="I60" i="27"/>
  <c r="W60" i="27"/>
  <c r="I74" i="27"/>
  <c r="I3" i="27"/>
  <c r="I67" i="1" s="1"/>
  <c r="C3" i="27"/>
  <c r="C67" i="1" s="1"/>
  <c r="M80" i="27"/>
  <c r="L80" i="27"/>
  <c r="H80" i="27"/>
  <c r="G80" i="27"/>
  <c r="F80" i="27"/>
  <c r="E80" i="27"/>
  <c r="D80" i="27"/>
  <c r="C80" i="27"/>
  <c r="M79" i="27"/>
  <c r="L79" i="27"/>
  <c r="H79" i="27"/>
  <c r="G79" i="27"/>
  <c r="F79" i="27"/>
  <c r="E79" i="27"/>
  <c r="D79" i="27"/>
  <c r="C79" i="27"/>
  <c r="M78" i="27"/>
  <c r="L78" i="27"/>
  <c r="C78" i="27"/>
  <c r="M76" i="27"/>
  <c r="L76" i="27"/>
  <c r="C76" i="27"/>
  <c r="M75" i="27"/>
  <c r="L75" i="27"/>
  <c r="C75" i="27"/>
  <c r="M74" i="27"/>
  <c r="L74" i="27"/>
  <c r="I72" i="27"/>
  <c r="H72" i="27"/>
  <c r="G72" i="27"/>
  <c r="F72" i="27"/>
  <c r="E72" i="27"/>
  <c r="D72" i="27"/>
  <c r="C72" i="27"/>
  <c r="AA66" i="27"/>
  <c r="Z66" i="27"/>
  <c r="V66" i="27"/>
  <c r="U66" i="27"/>
  <c r="T66" i="27"/>
  <c r="S66" i="27"/>
  <c r="R66" i="27"/>
  <c r="Q66" i="27"/>
  <c r="AA65" i="27"/>
  <c r="Z65" i="27"/>
  <c r="V65" i="27"/>
  <c r="U65" i="27"/>
  <c r="T65" i="27"/>
  <c r="S65" i="27"/>
  <c r="R65" i="27"/>
  <c r="Q65" i="27"/>
  <c r="AA64" i="27"/>
  <c r="Z64" i="27"/>
  <c r="Q64" i="27"/>
  <c r="AA62" i="27"/>
  <c r="Z62" i="27"/>
  <c r="Q62" i="27"/>
  <c r="AA61" i="27"/>
  <c r="Z61" i="27"/>
  <c r="Q61" i="27"/>
  <c r="AA60" i="27"/>
  <c r="Z60" i="27"/>
  <c r="W58" i="27"/>
  <c r="V58" i="27"/>
  <c r="U58" i="27"/>
  <c r="T58" i="27"/>
  <c r="S58" i="27"/>
  <c r="R58" i="27"/>
  <c r="Q58" i="27"/>
  <c r="M66" i="27"/>
  <c r="L66" i="27"/>
  <c r="H66" i="27"/>
  <c r="G66" i="27"/>
  <c r="F66" i="27"/>
  <c r="E66" i="27"/>
  <c r="D66" i="27"/>
  <c r="C66" i="27"/>
  <c r="M65" i="27"/>
  <c r="L65" i="27"/>
  <c r="H65" i="27"/>
  <c r="G65" i="27"/>
  <c r="F65" i="27"/>
  <c r="E65" i="27"/>
  <c r="D65" i="27"/>
  <c r="C65" i="27"/>
  <c r="M64" i="27"/>
  <c r="C64" i="27"/>
  <c r="M62" i="27"/>
  <c r="L62" i="27"/>
  <c r="C62" i="27"/>
  <c r="M61" i="27"/>
  <c r="L61" i="27"/>
  <c r="C61" i="27"/>
  <c r="M60" i="27"/>
  <c r="L60" i="27"/>
  <c r="I58" i="27"/>
  <c r="H58" i="27"/>
  <c r="G58" i="27"/>
  <c r="F58" i="27"/>
  <c r="E58" i="27"/>
  <c r="D58" i="27"/>
  <c r="C58" i="27"/>
  <c r="AA52" i="27"/>
  <c r="Z52" i="27"/>
  <c r="V52" i="27"/>
  <c r="U52" i="27"/>
  <c r="T52" i="27"/>
  <c r="S52" i="27"/>
  <c r="R52" i="27"/>
  <c r="Q52" i="27"/>
  <c r="AA51" i="27"/>
  <c r="Z51" i="27"/>
  <c r="V51" i="27"/>
  <c r="U51" i="27"/>
  <c r="T51" i="27"/>
  <c r="S51" i="27"/>
  <c r="R51" i="27"/>
  <c r="Q51" i="27"/>
  <c r="AA50" i="27"/>
  <c r="Z50" i="27"/>
  <c r="Q50" i="27"/>
  <c r="AA48" i="27"/>
  <c r="Z48" i="27"/>
  <c r="Q48" i="27"/>
  <c r="AA47" i="27"/>
  <c r="Z47" i="27"/>
  <c r="Q47" i="27"/>
  <c r="AA46" i="27"/>
  <c r="Z46" i="27"/>
  <c r="W44" i="27"/>
  <c r="V44" i="27"/>
  <c r="U44" i="27"/>
  <c r="T44" i="27"/>
  <c r="S44" i="27"/>
  <c r="R44" i="27"/>
  <c r="Q44" i="27"/>
  <c r="M52" i="27"/>
  <c r="L52" i="27"/>
  <c r="H52" i="27"/>
  <c r="G52" i="27"/>
  <c r="F52" i="27"/>
  <c r="E52" i="27"/>
  <c r="D52" i="27"/>
  <c r="C52" i="27"/>
  <c r="M51" i="27"/>
  <c r="L51" i="27"/>
  <c r="H51" i="27"/>
  <c r="G51" i="27"/>
  <c r="F51" i="27"/>
  <c r="E51" i="27"/>
  <c r="D51" i="27"/>
  <c r="C51" i="27"/>
  <c r="M50" i="27"/>
  <c r="L50" i="27"/>
  <c r="C50" i="27"/>
  <c r="M48" i="27"/>
  <c r="L48" i="27"/>
  <c r="C48" i="27"/>
  <c r="M47" i="27"/>
  <c r="L47" i="27"/>
  <c r="C47" i="27"/>
  <c r="M46" i="27"/>
  <c r="L46" i="27"/>
  <c r="I44" i="27"/>
  <c r="H44" i="27"/>
  <c r="G44" i="27"/>
  <c r="F44" i="27"/>
  <c r="E44" i="27"/>
  <c r="D44" i="27"/>
  <c r="C44" i="27"/>
  <c r="AA38" i="27"/>
  <c r="Z38" i="27"/>
  <c r="V38" i="27"/>
  <c r="U38" i="27"/>
  <c r="T38" i="27"/>
  <c r="S38" i="27"/>
  <c r="R38" i="27"/>
  <c r="Q38" i="27"/>
  <c r="AA37" i="27"/>
  <c r="Z37" i="27"/>
  <c r="V37" i="27"/>
  <c r="U37" i="27"/>
  <c r="T37" i="27"/>
  <c r="S37" i="27"/>
  <c r="R37" i="27"/>
  <c r="Q37" i="27"/>
  <c r="AA36" i="27"/>
  <c r="Z36" i="27"/>
  <c r="Q36" i="27"/>
  <c r="AA34" i="27"/>
  <c r="Z34" i="27"/>
  <c r="Q34" i="27"/>
  <c r="AA33" i="27"/>
  <c r="Z33" i="27"/>
  <c r="Q33" i="27"/>
  <c r="AA32" i="27"/>
  <c r="Z32" i="27"/>
  <c r="W30" i="27"/>
  <c r="V30" i="27"/>
  <c r="U30" i="27"/>
  <c r="T30" i="27"/>
  <c r="S30" i="27"/>
  <c r="R30" i="27"/>
  <c r="Q30" i="27"/>
  <c r="M38" i="27"/>
  <c r="L38" i="27"/>
  <c r="H38" i="27"/>
  <c r="G38" i="27"/>
  <c r="F38" i="27"/>
  <c r="E38" i="27"/>
  <c r="D38" i="27"/>
  <c r="C38" i="27"/>
  <c r="M37" i="27"/>
  <c r="L37" i="27"/>
  <c r="H37" i="27"/>
  <c r="G37" i="27"/>
  <c r="F37" i="27"/>
  <c r="E37" i="27"/>
  <c r="D37" i="27"/>
  <c r="C37" i="27"/>
  <c r="M36" i="27"/>
  <c r="L36" i="27"/>
  <c r="C36" i="27"/>
  <c r="M34" i="27"/>
  <c r="L34" i="27"/>
  <c r="C34" i="27"/>
  <c r="M33" i="27"/>
  <c r="L33" i="27"/>
  <c r="C33" i="27"/>
  <c r="M32" i="27"/>
  <c r="L32" i="27"/>
  <c r="I30" i="27"/>
  <c r="H30" i="27"/>
  <c r="G30" i="27"/>
  <c r="F30" i="27"/>
  <c r="E30" i="27"/>
  <c r="D30" i="27"/>
  <c r="C30" i="27"/>
  <c r="AA24" i="27"/>
  <c r="Z24" i="27"/>
  <c r="V24" i="27"/>
  <c r="U24" i="27"/>
  <c r="T24" i="27"/>
  <c r="S24" i="27"/>
  <c r="R24" i="27"/>
  <c r="Q24" i="27"/>
  <c r="AA23" i="27"/>
  <c r="Z23" i="27"/>
  <c r="V23" i="27"/>
  <c r="U23" i="27"/>
  <c r="T23" i="27"/>
  <c r="S23" i="27"/>
  <c r="R23" i="27"/>
  <c r="Q23" i="27"/>
  <c r="AA22" i="27"/>
  <c r="Z22" i="27"/>
  <c r="Q22" i="27"/>
  <c r="AA20" i="27"/>
  <c r="Z20" i="27"/>
  <c r="Q20" i="27"/>
  <c r="AA19" i="27"/>
  <c r="Z19" i="27"/>
  <c r="Q19" i="27"/>
  <c r="AA18" i="27"/>
  <c r="Z18" i="27"/>
  <c r="W16" i="27"/>
  <c r="V16" i="27"/>
  <c r="U16" i="27"/>
  <c r="T16" i="27"/>
  <c r="S16" i="27"/>
  <c r="R16" i="27"/>
  <c r="Q16" i="27"/>
  <c r="M24" i="27"/>
  <c r="L24" i="27"/>
  <c r="H24" i="27"/>
  <c r="G24" i="27"/>
  <c r="F24" i="27"/>
  <c r="E24" i="27"/>
  <c r="D24" i="27"/>
  <c r="C24" i="27"/>
  <c r="M23" i="27"/>
  <c r="L23" i="27"/>
  <c r="H23" i="27"/>
  <c r="G23" i="27"/>
  <c r="F23" i="27"/>
  <c r="E23" i="27"/>
  <c r="D23" i="27"/>
  <c r="C23" i="27"/>
  <c r="M22" i="27"/>
  <c r="L22" i="27"/>
  <c r="C22" i="27"/>
  <c r="M20" i="27"/>
  <c r="L20" i="27"/>
  <c r="C20" i="27"/>
  <c r="M19" i="27"/>
  <c r="L19" i="27"/>
  <c r="C19" i="27"/>
  <c r="M18" i="27"/>
  <c r="L18" i="27"/>
  <c r="I16" i="27"/>
  <c r="H16" i="27"/>
  <c r="G16" i="27"/>
  <c r="F16" i="27"/>
  <c r="E16" i="27"/>
  <c r="D16" i="27"/>
  <c r="C16" i="27"/>
  <c r="AA10" i="27"/>
  <c r="Z10" i="27"/>
  <c r="V10" i="27"/>
  <c r="U10" i="27"/>
  <c r="T10" i="27"/>
  <c r="S10" i="27"/>
  <c r="R10" i="27"/>
  <c r="Q10" i="27"/>
  <c r="AA9" i="27"/>
  <c r="Z9" i="27"/>
  <c r="V9" i="27"/>
  <c r="U9" i="27"/>
  <c r="T9" i="27"/>
  <c r="S9" i="27"/>
  <c r="R9" i="27"/>
  <c r="Q9" i="27"/>
  <c r="AA8" i="27"/>
  <c r="Z8" i="27"/>
  <c r="Q8" i="27"/>
  <c r="AA6" i="27"/>
  <c r="Z6" i="27"/>
  <c r="Q6" i="27"/>
  <c r="AA5" i="27"/>
  <c r="Z5" i="27"/>
  <c r="Q5" i="27"/>
  <c r="AA4" i="27"/>
  <c r="Z4" i="27"/>
  <c r="W2" i="27"/>
  <c r="V2" i="27"/>
  <c r="U2" i="27"/>
  <c r="T2" i="27"/>
  <c r="S2" i="27"/>
  <c r="R2" i="27"/>
  <c r="Q2" i="27"/>
  <c r="M10" i="27"/>
  <c r="M9" i="27"/>
  <c r="M8" i="27"/>
  <c r="M6" i="27"/>
  <c r="M5" i="27"/>
  <c r="M4" i="27"/>
  <c r="L10" i="27"/>
  <c r="L9" i="27"/>
  <c r="L8" i="27"/>
  <c r="L6" i="27"/>
  <c r="L5" i="27"/>
  <c r="L4" i="27"/>
  <c r="H10" i="27"/>
  <c r="H9" i="27"/>
  <c r="G10" i="27"/>
  <c r="G9" i="27"/>
  <c r="F10" i="27"/>
  <c r="F9" i="27"/>
  <c r="E10" i="27"/>
  <c r="E9" i="27"/>
  <c r="D10" i="27"/>
  <c r="K11" i="27" s="1"/>
  <c r="D9" i="27"/>
  <c r="C10" i="27"/>
  <c r="C9" i="27"/>
  <c r="C8" i="27"/>
  <c r="C6" i="27"/>
  <c r="M3" i="27"/>
  <c r="M67" i="1" s="1"/>
  <c r="D4" i="9" s="1"/>
  <c r="D4" i="12" s="1"/>
  <c r="L3" i="27"/>
  <c r="L67" i="1" s="1"/>
  <c r="C4" i="9" s="1"/>
  <c r="C4" i="12" s="1"/>
  <c r="H3" i="27"/>
  <c r="H67" i="1" s="1"/>
  <c r="G3" i="27"/>
  <c r="G67" i="1" s="1"/>
  <c r="F3" i="27"/>
  <c r="F67" i="1" s="1"/>
  <c r="E3" i="27"/>
  <c r="E67" i="1" s="1"/>
  <c r="D3" i="27"/>
  <c r="D67" i="1" s="1"/>
  <c r="I7" i="16"/>
  <c r="I7" i="7" s="1"/>
  <c r="I8" i="16"/>
  <c r="I8" i="7" s="1"/>
  <c r="I9" i="16"/>
  <c r="I9" i="7" s="1"/>
  <c r="I10" i="16"/>
  <c r="I10" i="7" s="1"/>
  <c r="W32" i="1"/>
  <c r="F12" i="16" s="1"/>
  <c r="F12" i="7" s="1"/>
  <c r="W33" i="1"/>
  <c r="F13" i="16" s="1"/>
  <c r="F13" i="7" s="1"/>
  <c r="B346" i="19"/>
  <c r="I16" i="16"/>
  <c r="I16" i="7" s="1"/>
  <c r="B349" i="19"/>
  <c r="I18" i="16"/>
  <c r="I18" i="7" s="1"/>
  <c r="B352" i="19"/>
  <c r="I2" i="27"/>
  <c r="H2" i="27"/>
  <c r="G2" i="27"/>
  <c r="F2" i="27"/>
  <c r="E2" i="27"/>
  <c r="D2" i="27"/>
  <c r="C2" i="27"/>
  <c r="V28" i="1"/>
  <c r="E8" i="16" s="1"/>
  <c r="E8" i="7" s="1"/>
  <c r="V29" i="1"/>
  <c r="E9" i="16"/>
  <c r="E9" i="7" s="1"/>
  <c r="V30" i="1"/>
  <c r="E10" i="16" s="1"/>
  <c r="E10" i="7" s="1"/>
  <c r="V31" i="1"/>
  <c r="E11" i="16" s="1"/>
  <c r="E11" i="7" s="1"/>
  <c r="V32" i="1"/>
  <c r="E12" i="16" s="1"/>
  <c r="E12" i="7" s="1"/>
  <c r="V33" i="1"/>
  <c r="E13" i="16" s="1"/>
  <c r="E13" i="7" s="1"/>
  <c r="V34" i="1"/>
  <c r="E14" i="16" s="1"/>
  <c r="E14" i="7" s="1"/>
  <c r="V35" i="1"/>
  <c r="E15" i="16" s="1"/>
  <c r="E15" i="7" s="1"/>
  <c r="V36" i="1"/>
  <c r="E16" i="16" s="1"/>
  <c r="E16" i="7" s="1"/>
  <c r="V37" i="1"/>
  <c r="E17" i="16"/>
  <c r="E17" i="7" s="1"/>
  <c r="V38" i="1"/>
  <c r="E18" i="16" s="1"/>
  <c r="E18" i="7" s="1"/>
  <c r="V39" i="1"/>
  <c r="E19" i="16" s="1"/>
  <c r="E19" i="7" s="1"/>
  <c r="V40" i="1"/>
  <c r="E20" i="16" s="1"/>
  <c r="E20" i="7" s="1"/>
  <c r="V26" i="1"/>
  <c r="E6" i="16" s="1"/>
  <c r="K7" i="16"/>
  <c r="K7" i="7" s="1"/>
  <c r="K8" i="16"/>
  <c r="K8" i="7" s="1"/>
  <c r="K9" i="16"/>
  <c r="K9" i="7" s="1"/>
  <c r="K10" i="16"/>
  <c r="K10" i="7" s="1"/>
  <c r="K11" i="16"/>
  <c r="K11" i="7" s="1"/>
  <c r="K12" i="16"/>
  <c r="K13" i="16"/>
  <c r="K13" i="7" s="1"/>
  <c r="K14" i="16"/>
  <c r="K14" i="7" s="1"/>
  <c r="K15" i="16"/>
  <c r="K15" i="7" s="1"/>
  <c r="K16" i="16"/>
  <c r="K16" i="7" s="1"/>
  <c r="K17" i="16"/>
  <c r="K17" i="7" s="1"/>
  <c r="K18" i="16"/>
  <c r="K18" i="7" s="1"/>
  <c r="K19" i="16"/>
  <c r="K19" i="7" s="1"/>
  <c r="K20" i="16"/>
  <c r="K6" i="16"/>
  <c r="K6" i="7" s="1"/>
  <c r="D19" i="9"/>
  <c r="D20" i="9"/>
  <c r="D20" i="12" s="1"/>
  <c r="D21" i="9"/>
  <c r="D21" i="12" s="1"/>
  <c r="D22" i="9"/>
  <c r="D22" i="12" s="1"/>
  <c r="D23" i="9"/>
  <c r="D24" i="9"/>
  <c r="D24" i="12" s="1"/>
  <c r="D25" i="9"/>
  <c r="D25" i="12" s="1"/>
  <c r="D26" i="9"/>
  <c r="D26" i="12" s="1"/>
  <c r="D27" i="9"/>
  <c r="D27" i="12" s="1"/>
  <c r="D18" i="9"/>
  <c r="D18" i="12" s="1"/>
  <c r="B391" i="19"/>
  <c r="C26" i="9"/>
  <c r="C26" i="12" s="1"/>
  <c r="C25" i="9"/>
  <c r="C25" i="12" s="1"/>
  <c r="C24" i="9"/>
  <c r="C24" i="12" s="1"/>
  <c r="C23" i="9"/>
  <c r="C23" i="12" s="1"/>
  <c r="C22" i="9"/>
  <c r="C22" i="12" s="1"/>
  <c r="C21" i="9"/>
  <c r="C21" i="12" s="1"/>
  <c r="I323" i="19"/>
  <c r="H323" i="19"/>
  <c r="I314" i="19"/>
  <c r="H314" i="19"/>
  <c r="I305" i="19"/>
  <c r="H305" i="19"/>
  <c r="I296" i="19"/>
  <c r="H296" i="19"/>
  <c r="I287" i="19"/>
  <c r="H287" i="19"/>
  <c r="I278" i="19"/>
  <c r="H278" i="19"/>
  <c r="I269" i="19"/>
  <c r="H269" i="19"/>
  <c r="I260" i="19"/>
  <c r="H260" i="19"/>
  <c r="I251" i="19"/>
  <c r="H251" i="19"/>
  <c r="I242" i="19"/>
  <c r="H242" i="19"/>
  <c r="I233" i="19"/>
  <c r="H233" i="19"/>
  <c r="D224" i="19"/>
  <c r="D215" i="19"/>
  <c r="D206" i="19"/>
  <c r="D197" i="19"/>
  <c r="D188" i="19"/>
  <c r="D179" i="19"/>
  <c r="D170" i="19"/>
  <c r="D161" i="19"/>
  <c r="D152" i="19"/>
  <c r="D143" i="19"/>
  <c r="D134" i="19"/>
  <c r="D125" i="19"/>
  <c r="D116" i="19"/>
  <c r="D107" i="19"/>
  <c r="D98" i="19"/>
  <c r="D89" i="19"/>
  <c r="D80" i="19"/>
  <c r="D71" i="19"/>
  <c r="D62" i="19"/>
  <c r="D53" i="19"/>
  <c r="D44" i="19"/>
  <c r="D35" i="19"/>
  <c r="D26" i="19"/>
  <c r="D17" i="19"/>
  <c r="B224" i="19"/>
  <c r="B215" i="19"/>
  <c r="B206" i="19"/>
  <c r="B197" i="19"/>
  <c r="B188" i="19"/>
  <c r="B179" i="19"/>
  <c r="B170" i="19"/>
  <c r="B161" i="19"/>
  <c r="B152" i="19"/>
  <c r="B143" i="19"/>
  <c r="B142" i="19"/>
  <c r="B134" i="19"/>
  <c r="B125" i="19"/>
  <c r="B116" i="19"/>
  <c r="B107" i="19"/>
  <c r="B98" i="19"/>
  <c r="B89" i="19"/>
  <c r="B80" i="19"/>
  <c r="B71" i="19"/>
  <c r="B62" i="19"/>
  <c r="B53" i="19"/>
  <c r="B44" i="19"/>
  <c r="B26" i="19"/>
  <c r="B25" i="19"/>
  <c r="B17" i="19"/>
  <c r="B16" i="19"/>
  <c r="I224" i="19"/>
  <c r="H224" i="19"/>
  <c r="I215" i="19"/>
  <c r="H215" i="19"/>
  <c r="I206" i="19"/>
  <c r="H206" i="19"/>
  <c r="I197" i="19"/>
  <c r="H197" i="19"/>
  <c r="I188" i="19"/>
  <c r="H188" i="19"/>
  <c r="I179" i="19"/>
  <c r="H179" i="19"/>
  <c r="I170" i="19"/>
  <c r="H170" i="19"/>
  <c r="I161" i="19"/>
  <c r="H161" i="19"/>
  <c r="H160" i="19"/>
  <c r="I160" i="19"/>
  <c r="I152" i="19"/>
  <c r="H152" i="19"/>
  <c r="I143" i="19"/>
  <c r="H143" i="19"/>
  <c r="I134" i="19"/>
  <c r="H134" i="19"/>
  <c r="I125" i="19"/>
  <c r="H125" i="19"/>
  <c r="I116" i="19"/>
  <c r="H116" i="19"/>
  <c r="I107" i="19"/>
  <c r="H107" i="19"/>
  <c r="I98" i="19"/>
  <c r="H98" i="19"/>
  <c r="I89" i="19"/>
  <c r="H89" i="19"/>
  <c r="I80" i="19"/>
  <c r="H80" i="19"/>
  <c r="I71" i="19"/>
  <c r="H71" i="19"/>
  <c r="I62" i="19"/>
  <c r="H62" i="19"/>
  <c r="I53" i="19"/>
  <c r="H53" i="19"/>
  <c r="I44" i="19"/>
  <c r="H44" i="19"/>
  <c r="I35" i="19"/>
  <c r="H35" i="19"/>
  <c r="I26" i="19"/>
  <c r="H26" i="19"/>
  <c r="I17" i="19"/>
  <c r="H17" i="19"/>
  <c r="H326" i="19"/>
  <c r="B2" i="19"/>
  <c r="J404" i="19"/>
  <c r="J405" i="19"/>
  <c r="J406" i="19"/>
  <c r="J407" i="19"/>
  <c r="J408" i="19"/>
  <c r="J409" i="19"/>
  <c r="J410" i="19"/>
  <c r="J411" i="19"/>
  <c r="J412" i="19"/>
  <c r="J403" i="19"/>
  <c r="J394" i="19"/>
  <c r="J395" i="19"/>
  <c r="J396" i="19"/>
  <c r="J397" i="19"/>
  <c r="J398" i="19"/>
  <c r="J399" i="19"/>
  <c r="J400" i="19"/>
  <c r="J401" i="19"/>
  <c r="J402" i="19"/>
  <c r="J393" i="19"/>
  <c r="J384" i="19"/>
  <c r="J385" i="19"/>
  <c r="J386" i="19"/>
  <c r="J387" i="19"/>
  <c r="J388" i="19"/>
  <c r="J389" i="19"/>
  <c r="J390" i="19"/>
  <c r="J391" i="19"/>
  <c r="J392" i="19"/>
  <c r="J383" i="19"/>
  <c r="J369" i="19"/>
  <c r="J370" i="19"/>
  <c r="J371" i="19"/>
  <c r="J372" i="19"/>
  <c r="J373" i="19"/>
  <c r="J374" i="19"/>
  <c r="J375" i="19"/>
  <c r="J376" i="19"/>
  <c r="J377" i="19"/>
  <c r="J378" i="19"/>
  <c r="J379" i="19"/>
  <c r="J380" i="19"/>
  <c r="J381" i="19"/>
  <c r="J382" i="19"/>
  <c r="J368" i="19"/>
  <c r="J354" i="19"/>
  <c r="J355" i="19"/>
  <c r="J356" i="19"/>
  <c r="J357" i="19"/>
  <c r="J358" i="19"/>
  <c r="J359" i="19"/>
  <c r="J360" i="19"/>
  <c r="J361" i="19"/>
  <c r="J362" i="19"/>
  <c r="J363" i="19"/>
  <c r="J364" i="19"/>
  <c r="J365" i="19"/>
  <c r="J366" i="19"/>
  <c r="J367" i="19"/>
  <c r="J353" i="19"/>
  <c r="J339" i="19"/>
  <c r="J340" i="19"/>
  <c r="J341" i="19"/>
  <c r="J342" i="19"/>
  <c r="J343" i="19"/>
  <c r="J344" i="19"/>
  <c r="J345" i="19"/>
  <c r="J346" i="19"/>
  <c r="J347" i="19"/>
  <c r="J348" i="19"/>
  <c r="J349" i="19"/>
  <c r="J350" i="19"/>
  <c r="J351" i="19"/>
  <c r="J352" i="19"/>
  <c r="J338" i="19"/>
  <c r="B404" i="19"/>
  <c r="B405" i="19"/>
  <c r="B406" i="19"/>
  <c r="B407" i="19"/>
  <c r="B408" i="19"/>
  <c r="B409" i="19"/>
  <c r="B410" i="19"/>
  <c r="B411" i="19"/>
  <c r="B412" i="19"/>
  <c r="B403" i="19"/>
  <c r="B394" i="19"/>
  <c r="B395" i="19"/>
  <c r="B396" i="19"/>
  <c r="B397" i="19"/>
  <c r="B398" i="19"/>
  <c r="B399" i="19"/>
  <c r="B400" i="19"/>
  <c r="B401" i="19"/>
  <c r="B402" i="19"/>
  <c r="B393" i="19"/>
  <c r="B386" i="19"/>
  <c r="B387" i="19"/>
  <c r="B390" i="19"/>
  <c r="F369" i="19"/>
  <c r="F370" i="19"/>
  <c r="F371" i="19"/>
  <c r="F372" i="19"/>
  <c r="F373" i="19"/>
  <c r="F374" i="19"/>
  <c r="F375" i="19"/>
  <c r="F376" i="19"/>
  <c r="F377" i="19"/>
  <c r="F378" i="19"/>
  <c r="F379" i="19"/>
  <c r="F380" i="19"/>
  <c r="F381" i="19"/>
  <c r="F382" i="19"/>
  <c r="F368" i="19"/>
  <c r="F354" i="19"/>
  <c r="F355" i="19"/>
  <c r="F356" i="19"/>
  <c r="F357" i="19"/>
  <c r="F358" i="19"/>
  <c r="F359" i="19"/>
  <c r="F360" i="19"/>
  <c r="F361" i="19"/>
  <c r="F362" i="19"/>
  <c r="F363" i="19"/>
  <c r="F364" i="19"/>
  <c r="F365" i="19"/>
  <c r="F366" i="19"/>
  <c r="F367" i="19"/>
  <c r="F353" i="19"/>
  <c r="B369" i="19"/>
  <c r="B370" i="19"/>
  <c r="B371" i="19"/>
  <c r="B372" i="19"/>
  <c r="B373" i="19"/>
  <c r="B374" i="19"/>
  <c r="B375" i="19"/>
  <c r="B376" i="19"/>
  <c r="B377" i="19"/>
  <c r="B378" i="19"/>
  <c r="B379" i="19"/>
  <c r="B380" i="19"/>
  <c r="B381" i="19"/>
  <c r="B382" i="19"/>
  <c r="B368" i="19"/>
  <c r="B354" i="19"/>
  <c r="B355" i="19"/>
  <c r="B356" i="19"/>
  <c r="B357" i="19"/>
  <c r="B358" i="19"/>
  <c r="B359" i="19"/>
  <c r="B360" i="19"/>
  <c r="B361" i="19"/>
  <c r="B362" i="19"/>
  <c r="B363" i="19"/>
  <c r="B364" i="19"/>
  <c r="B365" i="19"/>
  <c r="B366" i="19"/>
  <c r="B367" i="19"/>
  <c r="B353" i="19"/>
  <c r="B8" i="19"/>
  <c r="I8" i="19"/>
  <c r="H8" i="19"/>
  <c r="P60" i="1"/>
  <c r="P61" i="1"/>
  <c r="P62" i="1"/>
  <c r="V27" i="1"/>
  <c r="E7" i="16" s="1"/>
  <c r="E7" i="7" s="1"/>
  <c r="C27" i="9"/>
  <c r="C27" i="12" s="1"/>
  <c r="P55" i="1"/>
  <c r="B385" i="19"/>
  <c r="N25" i="1"/>
  <c r="M25" i="1"/>
  <c r="J53" i="1"/>
  <c r="I53" i="1"/>
  <c r="B392" i="19"/>
  <c r="P63" i="1"/>
  <c r="C20" i="9"/>
  <c r="C20" i="12" s="1"/>
  <c r="I13" i="16"/>
  <c r="I13" i="7" s="1"/>
  <c r="B345" i="19"/>
  <c r="W40" i="1"/>
  <c r="F20" i="16" s="1"/>
  <c r="F20" i="7" s="1"/>
  <c r="W36" i="1"/>
  <c r="F16" i="16" s="1"/>
  <c r="F16" i="7" s="1"/>
  <c r="B348" i="19"/>
  <c r="B344" i="19"/>
  <c r="B340" i="19"/>
  <c r="B338" i="19"/>
  <c r="W39" i="1"/>
  <c r="F19" i="16" s="1"/>
  <c r="F19" i="7" s="1"/>
  <c r="I19" i="16"/>
  <c r="I19" i="7" s="1"/>
  <c r="B351" i="19"/>
  <c r="W35" i="1"/>
  <c r="F15" i="16" s="1"/>
  <c r="F15" i="7" s="1"/>
  <c r="I15" i="16"/>
  <c r="I15" i="7" s="1"/>
  <c r="B347" i="19"/>
  <c r="W37" i="1"/>
  <c r="F17" i="16" s="1"/>
  <c r="F17" i="7" s="1"/>
  <c r="I17" i="16"/>
  <c r="I17" i="7" s="1"/>
  <c r="D17" i="12"/>
  <c r="D19" i="12"/>
  <c r="D23" i="12"/>
  <c r="I5" i="7"/>
  <c r="F5" i="7"/>
  <c r="E5" i="7"/>
  <c r="S3" i="3"/>
  <c r="C14" i="1"/>
  <c r="F3" i="3"/>
  <c r="F2" i="3"/>
  <c r="A17" i="19" s="1"/>
  <c r="B49" i="1" a="1"/>
  <c r="B49" i="1" s="1"/>
  <c r="B48" i="1" a="1"/>
  <c r="B48" i="1" s="1"/>
  <c r="B47" i="1" a="1"/>
  <c r="B47" i="1" s="1"/>
  <c r="B46" i="1" a="1"/>
  <c r="B46" i="1" s="1"/>
  <c r="A49" i="1" a="1"/>
  <c r="A49" i="1" s="1"/>
  <c r="A48" i="1" a="1"/>
  <c r="A48" i="1" s="1"/>
  <c r="A47" i="1" a="1"/>
  <c r="A47" i="1" s="1"/>
  <c r="A46" i="1" a="1"/>
  <c r="A46" i="1" s="1"/>
  <c r="B7" i="16"/>
  <c r="B7" i="7" s="1"/>
  <c r="B8" i="16"/>
  <c r="B8" i="7" s="1"/>
  <c r="B9" i="16"/>
  <c r="B9" i="7" s="1"/>
  <c r="B10" i="16"/>
  <c r="B10" i="7" s="1"/>
  <c r="B11" i="16"/>
  <c r="B11" i="7" s="1"/>
  <c r="B12" i="16"/>
  <c r="B12" i="7" s="1"/>
  <c r="B13" i="16"/>
  <c r="B13" i="7" s="1"/>
  <c r="B14" i="16"/>
  <c r="B14" i="7" s="1"/>
  <c r="B15" i="16"/>
  <c r="B15" i="7" s="1"/>
  <c r="B16" i="16"/>
  <c r="B16" i="7" s="1"/>
  <c r="B17" i="16"/>
  <c r="B17" i="7" s="1"/>
  <c r="B18" i="16"/>
  <c r="B18" i="7" s="1"/>
  <c r="B19" i="16"/>
  <c r="B19" i="7" s="1"/>
  <c r="B20" i="16"/>
  <c r="B20" i="7" s="1"/>
  <c r="B6" i="16"/>
  <c r="B6" i="7" s="1"/>
  <c r="E21" i="1"/>
  <c r="P3" i="3" s="1"/>
  <c r="G21" i="1"/>
  <c r="P4" i="3" s="1"/>
  <c r="N338" i="19"/>
  <c r="E17" i="1"/>
  <c r="L3" i="3" s="1"/>
  <c r="K21" i="1"/>
  <c r="P6" i="3" s="1"/>
  <c r="E48" i="1"/>
  <c r="E49" i="1"/>
  <c r="D223" i="19"/>
  <c r="B223" i="19"/>
  <c r="D214" i="19"/>
  <c r="B214" i="19"/>
  <c r="D205" i="19"/>
  <c r="B205" i="19"/>
  <c r="D196" i="19"/>
  <c r="B196" i="19"/>
  <c r="D187" i="19"/>
  <c r="B187" i="19"/>
  <c r="D178" i="19"/>
  <c r="B178" i="19"/>
  <c r="D169" i="19"/>
  <c r="B169" i="19"/>
  <c r="B160" i="19"/>
  <c r="D160" i="19"/>
  <c r="D151" i="19"/>
  <c r="B151" i="19"/>
  <c r="B150" i="19"/>
  <c r="D142" i="19"/>
  <c r="D133" i="19"/>
  <c r="B133" i="19"/>
  <c r="D124" i="19"/>
  <c r="B124" i="19"/>
  <c r="D115" i="19"/>
  <c r="B115" i="19"/>
  <c r="B114" i="19"/>
  <c r="D106" i="19"/>
  <c r="B106" i="19"/>
  <c r="D97" i="19"/>
  <c r="B97" i="19"/>
  <c r="D88" i="19"/>
  <c r="B88" i="19"/>
  <c r="D79" i="19"/>
  <c r="B79" i="19"/>
  <c r="D70" i="19"/>
  <c r="B70" i="19"/>
  <c r="B69" i="19"/>
  <c r="D61" i="19"/>
  <c r="B61" i="19"/>
  <c r="D52" i="19"/>
  <c r="B52" i="19"/>
  <c r="D43" i="19"/>
  <c r="B43" i="19"/>
  <c r="D34" i="19"/>
  <c r="B34" i="19"/>
  <c r="B33" i="19"/>
  <c r="D25" i="19"/>
  <c r="B7" i="19"/>
  <c r="B6" i="19"/>
  <c r="I322" i="19"/>
  <c r="I313" i="19"/>
  <c r="I304" i="19"/>
  <c r="I295" i="19"/>
  <c r="I286" i="19"/>
  <c r="I277" i="19"/>
  <c r="I268" i="19"/>
  <c r="I259" i="19"/>
  <c r="I250" i="19"/>
  <c r="I241" i="19"/>
  <c r="I232" i="19"/>
  <c r="I223" i="19"/>
  <c r="I214" i="19"/>
  <c r="I205" i="19"/>
  <c r="I196" i="19"/>
  <c r="I187" i="19"/>
  <c r="I178" i="19"/>
  <c r="I169" i="19"/>
  <c r="I151" i="19"/>
  <c r="I142" i="19"/>
  <c r="I133" i="19"/>
  <c r="I124" i="19"/>
  <c r="I115" i="19"/>
  <c r="I106" i="19"/>
  <c r="I97" i="19"/>
  <c r="I88" i="19"/>
  <c r="I79" i="19"/>
  <c r="I70" i="19"/>
  <c r="I61" i="19"/>
  <c r="I52" i="19"/>
  <c r="I43" i="19"/>
  <c r="I34" i="19"/>
  <c r="I25" i="19"/>
  <c r="I7" i="19"/>
  <c r="I16" i="19"/>
  <c r="I6" i="19"/>
  <c r="H322" i="19"/>
  <c r="H313" i="19"/>
  <c r="H304" i="19"/>
  <c r="H295" i="19"/>
  <c r="H286" i="19"/>
  <c r="H277" i="19"/>
  <c r="H268" i="19"/>
  <c r="H259" i="19"/>
  <c r="H250" i="19"/>
  <c r="H241" i="19"/>
  <c r="H232" i="19"/>
  <c r="H223" i="19"/>
  <c r="H214" i="19"/>
  <c r="H205" i="19"/>
  <c r="H196" i="19"/>
  <c r="H187" i="19"/>
  <c r="H178" i="19"/>
  <c r="H169" i="19"/>
  <c r="H151" i="19"/>
  <c r="H142" i="19"/>
  <c r="H133" i="19"/>
  <c r="H124" i="19"/>
  <c r="H115" i="19"/>
  <c r="H106" i="19"/>
  <c r="H97" i="19"/>
  <c r="H88" i="19"/>
  <c r="H79" i="19"/>
  <c r="H70" i="19"/>
  <c r="H61" i="19"/>
  <c r="H52" i="19"/>
  <c r="H43" i="19"/>
  <c r="H34" i="19"/>
  <c r="H25" i="19"/>
  <c r="H7" i="19"/>
  <c r="H16" i="19"/>
  <c r="D16" i="19"/>
  <c r="B15" i="19"/>
  <c r="H15" i="19"/>
  <c r="H66" i="1"/>
  <c r="G66" i="1"/>
  <c r="F66" i="1"/>
  <c r="E66" i="1"/>
  <c r="D66" i="1"/>
  <c r="C66" i="1"/>
  <c r="H53" i="1"/>
  <c r="G53" i="1"/>
  <c r="F53" i="1"/>
  <c r="E53" i="1"/>
  <c r="D53" i="1"/>
  <c r="L25" i="1"/>
  <c r="K25" i="1"/>
  <c r="J25" i="1"/>
  <c r="S4" i="3"/>
  <c r="I21" i="1"/>
  <c r="P5" i="3" s="1"/>
  <c r="S2" i="3"/>
  <c r="P2" i="3"/>
  <c r="C55" i="1"/>
  <c r="C56" i="1"/>
  <c r="C57" i="1"/>
  <c r="C58" i="1"/>
  <c r="C59" i="1"/>
  <c r="C60" i="1"/>
  <c r="C61" i="1"/>
  <c r="C62" i="1"/>
  <c r="C63" i="1"/>
  <c r="C54" i="1"/>
  <c r="C33" i="1"/>
  <c r="C34" i="1"/>
  <c r="C35" i="1"/>
  <c r="C36" i="1"/>
  <c r="C37" i="1"/>
  <c r="C38" i="1"/>
  <c r="C39" i="1"/>
  <c r="C40" i="1"/>
  <c r="C28" i="1"/>
  <c r="C29" i="1"/>
  <c r="C30" i="1"/>
  <c r="C31" i="1"/>
  <c r="C32" i="1"/>
  <c r="C26" i="1"/>
  <c r="M12" i="3"/>
  <c r="M11" i="3"/>
  <c r="M10" i="3"/>
  <c r="M9" i="3"/>
  <c r="M8" i="3"/>
  <c r="M7" i="3"/>
  <c r="M6" i="3"/>
  <c r="M5" i="3"/>
  <c r="M4" i="3"/>
  <c r="M3" i="3"/>
  <c r="M2" i="3"/>
  <c r="G12" i="3"/>
  <c r="G11" i="3"/>
  <c r="G10" i="3"/>
  <c r="G9" i="3"/>
  <c r="G8" i="3"/>
  <c r="G7" i="3"/>
  <c r="G6" i="3"/>
  <c r="G5" i="3"/>
  <c r="F5" i="3"/>
  <c r="G4" i="3"/>
  <c r="G3" i="3"/>
  <c r="G2" i="3"/>
  <c r="F12" i="3"/>
  <c r="F11" i="3"/>
  <c r="F10" i="3"/>
  <c r="F9" i="3"/>
  <c r="F8" i="3"/>
  <c r="F7" i="3"/>
  <c r="F6" i="3"/>
  <c r="F4" i="3"/>
  <c r="W22" i="1"/>
  <c r="Q12" i="3" s="1"/>
  <c r="W21" i="1"/>
  <c r="P12" i="3" s="1"/>
  <c r="W20" i="1"/>
  <c r="O12" i="3" s="1"/>
  <c r="W19" i="1"/>
  <c r="N12" i="3" s="1"/>
  <c r="U22" i="1"/>
  <c r="Q11" i="3" s="1"/>
  <c r="U21" i="1"/>
  <c r="P11" i="3" s="1"/>
  <c r="U20" i="1"/>
  <c r="O11" i="3" s="1"/>
  <c r="U19" i="1"/>
  <c r="N11" i="3" s="1"/>
  <c r="S22" i="1"/>
  <c r="Q10" i="3" s="1"/>
  <c r="S21" i="1"/>
  <c r="P10" i="3" s="1"/>
  <c r="S20" i="1"/>
  <c r="O10" i="3" s="1"/>
  <c r="S19" i="1"/>
  <c r="N10" i="3" s="1"/>
  <c r="Q22" i="1"/>
  <c r="Q9" i="3" s="1"/>
  <c r="Q21" i="1"/>
  <c r="P9" i="3" s="1"/>
  <c r="Q20" i="1"/>
  <c r="O9" i="3" s="1"/>
  <c r="Q19" i="1"/>
  <c r="N9" i="3" s="1"/>
  <c r="O22" i="1"/>
  <c r="Q8" i="3" s="1"/>
  <c r="O21" i="1"/>
  <c r="P8" i="3" s="1"/>
  <c r="O20" i="1"/>
  <c r="O8" i="3" s="1"/>
  <c r="O19" i="1"/>
  <c r="N8" i="3" s="1"/>
  <c r="M22" i="1"/>
  <c r="Q7" i="3" s="1"/>
  <c r="M21" i="1"/>
  <c r="P7" i="3" s="1"/>
  <c r="M20" i="1"/>
  <c r="O7" i="3" s="1"/>
  <c r="M19" i="1"/>
  <c r="N7" i="3" s="1"/>
  <c r="K22" i="1"/>
  <c r="Q6" i="3" s="1"/>
  <c r="K20" i="1"/>
  <c r="O6" i="3" s="1"/>
  <c r="K19" i="1"/>
  <c r="N6" i="3" s="1"/>
  <c r="I22" i="1"/>
  <c r="Q5" i="3" s="1"/>
  <c r="I20" i="1"/>
  <c r="O5" i="3" s="1"/>
  <c r="I19" i="1"/>
  <c r="N5" i="3" s="1"/>
  <c r="G22" i="1"/>
  <c r="Q4" i="3" s="1"/>
  <c r="G20" i="1"/>
  <c r="O4" i="3" s="1"/>
  <c r="G19" i="1"/>
  <c r="N4" i="3" s="1"/>
  <c r="E22" i="1"/>
  <c r="Q3" i="3" s="1"/>
  <c r="E20" i="1"/>
  <c r="O3" i="3" s="1"/>
  <c r="E19" i="1"/>
  <c r="N3" i="3" s="1"/>
  <c r="C22" i="1"/>
  <c r="Q2" i="3" s="1"/>
  <c r="C20" i="1"/>
  <c r="O2" i="3" s="1"/>
  <c r="C19" i="1"/>
  <c r="N2" i="3" s="1"/>
  <c r="W17" i="1"/>
  <c r="L12" i="3" s="1"/>
  <c r="U17" i="1"/>
  <c r="L11" i="3" s="1"/>
  <c r="S17" i="1"/>
  <c r="L10" i="3" s="1"/>
  <c r="Q17" i="1"/>
  <c r="L9" i="3" s="1"/>
  <c r="O17" i="1"/>
  <c r="L8" i="3" s="1"/>
  <c r="M17" i="1"/>
  <c r="L7" i="3" s="1"/>
  <c r="K17" i="1"/>
  <c r="L6" i="3" s="1"/>
  <c r="I17" i="1"/>
  <c r="L5" i="3" s="1"/>
  <c r="G17" i="1"/>
  <c r="L4" i="3" s="1"/>
  <c r="C17" i="1"/>
  <c r="L2" i="3" s="1"/>
  <c r="W16" i="1"/>
  <c r="J12" i="3" s="1"/>
  <c r="U16" i="1"/>
  <c r="J11" i="3" s="1"/>
  <c r="S16" i="1"/>
  <c r="J10" i="3" s="1"/>
  <c r="Q16" i="1"/>
  <c r="J9" i="3" s="1"/>
  <c r="O16" i="1"/>
  <c r="C8" i="18" s="1"/>
  <c r="M16" i="1"/>
  <c r="J7" i="3" s="1"/>
  <c r="K16" i="1"/>
  <c r="C6" i="18" s="1"/>
  <c r="I16" i="1"/>
  <c r="C5" i="18" s="1"/>
  <c r="G16" i="1"/>
  <c r="J4" i="3" s="1"/>
  <c r="E16" i="1"/>
  <c r="J3" i="3" s="1"/>
  <c r="C2" i="18"/>
  <c r="W15" i="1"/>
  <c r="I12" i="3" s="1"/>
  <c r="B12" i="18" s="1"/>
  <c r="U15" i="1"/>
  <c r="I11" i="3" s="1"/>
  <c r="B11" i="18" s="1"/>
  <c r="S15" i="1"/>
  <c r="I10" i="3" s="1"/>
  <c r="B10" i="18" s="1"/>
  <c r="Q15" i="1"/>
  <c r="I9" i="3" s="1"/>
  <c r="B9" i="18" s="1"/>
  <c r="O15" i="1"/>
  <c r="I8" i="3" s="1"/>
  <c r="B8" i="18" s="1"/>
  <c r="M15" i="1"/>
  <c r="I7" i="3" s="1"/>
  <c r="B7" i="18" s="1"/>
  <c r="K15" i="1"/>
  <c r="I6" i="3" s="1"/>
  <c r="B6" i="18" s="1"/>
  <c r="I15" i="1"/>
  <c r="I5" i="3" s="1"/>
  <c r="B5" i="18" s="1"/>
  <c r="G15" i="1"/>
  <c r="I4" i="3" s="1"/>
  <c r="B4" i="18" s="1"/>
  <c r="E15" i="1"/>
  <c r="I3" i="3" s="1"/>
  <c r="B3" i="18" s="1"/>
  <c r="W12" i="1"/>
  <c r="S12" i="3" s="1"/>
  <c r="U12" i="1"/>
  <c r="S11" i="3" s="1"/>
  <c r="S12" i="1"/>
  <c r="S10" i="3" s="1"/>
  <c r="Q12" i="1"/>
  <c r="S9" i="3" s="1"/>
  <c r="O12" i="1"/>
  <c r="S8" i="3" s="1"/>
  <c r="M12" i="1"/>
  <c r="S7" i="3" s="1"/>
  <c r="K12" i="1"/>
  <c r="S6" i="3" s="1"/>
  <c r="S5" i="3"/>
  <c r="D11" i="19"/>
  <c r="E47" i="1"/>
  <c r="A8" i="12"/>
  <c r="A9" i="12"/>
  <c r="F26" i="1"/>
  <c r="O338" i="19" s="1"/>
  <c r="K5" i="7"/>
  <c r="H5" i="7"/>
  <c r="H4" i="7"/>
  <c r="E4" i="7"/>
  <c r="E3" i="7"/>
  <c r="D5" i="7"/>
  <c r="C5" i="7"/>
  <c r="B5" i="7"/>
  <c r="A1" i="12"/>
  <c r="C17" i="12"/>
  <c r="B17" i="12"/>
  <c r="A17" i="12"/>
  <c r="A28" i="12"/>
  <c r="A16" i="12"/>
  <c r="A5" i="12"/>
  <c r="A6" i="12"/>
  <c r="A7" i="12"/>
  <c r="A10" i="12"/>
  <c r="A11" i="12"/>
  <c r="A12" i="12"/>
  <c r="A13" i="12"/>
  <c r="A14" i="12"/>
  <c r="E3" i="12"/>
  <c r="D3" i="12"/>
  <c r="C3" i="12"/>
  <c r="B3" i="12"/>
  <c r="D13" i="12"/>
  <c r="C13" i="12"/>
  <c r="D15" i="16"/>
  <c r="D15" i="7" s="1"/>
  <c r="D16" i="16"/>
  <c r="D16" i="7" s="1"/>
  <c r="D17" i="16"/>
  <c r="D17" i="7" s="1"/>
  <c r="D18" i="16"/>
  <c r="D18" i="7" s="1"/>
  <c r="D19" i="16"/>
  <c r="D19" i="7" s="1"/>
  <c r="D20" i="16"/>
  <c r="D20" i="7" s="1"/>
  <c r="D7" i="16"/>
  <c r="D7" i="7" s="1"/>
  <c r="D8" i="16"/>
  <c r="D8" i="7" s="1"/>
  <c r="D9" i="16"/>
  <c r="D9" i="7" s="1"/>
  <c r="D10" i="16"/>
  <c r="D10" i="7" s="1"/>
  <c r="D11" i="16"/>
  <c r="D11" i="7" s="1"/>
  <c r="D12" i="16"/>
  <c r="D12" i="7" s="1"/>
  <c r="D13" i="16"/>
  <c r="D13" i="7" s="1"/>
  <c r="D14" i="16"/>
  <c r="D14" i="7" s="1"/>
  <c r="O369" i="19"/>
  <c r="O370" i="19"/>
  <c r="O371" i="19"/>
  <c r="O372" i="19"/>
  <c r="O373" i="19"/>
  <c r="O374" i="19"/>
  <c r="O375" i="19"/>
  <c r="O376" i="19"/>
  <c r="O377" i="19"/>
  <c r="O378" i="19"/>
  <c r="O379" i="19"/>
  <c r="O380" i="19"/>
  <c r="O381" i="19"/>
  <c r="O382" i="19"/>
  <c r="O354" i="19"/>
  <c r="O355" i="19"/>
  <c r="O356" i="19"/>
  <c r="O357" i="19"/>
  <c r="O358" i="19"/>
  <c r="O359" i="19"/>
  <c r="O360" i="19"/>
  <c r="O361" i="19"/>
  <c r="O362" i="19"/>
  <c r="O363" i="19"/>
  <c r="O364" i="19"/>
  <c r="O365" i="19"/>
  <c r="O366" i="19"/>
  <c r="O367" i="19"/>
  <c r="N369" i="19"/>
  <c r="N370" i="19"/>
  <c r="N371" i="19"/>
  <c r="N372" i="19"/>
  <c r="N373" i="19"/>
  <c r="N374" i="19"/>
  <c r="N375" i="19"/>
  <c r="N376" i="19"/>
  <c r="N377" i="19"/>
  <c r="N378" i="19"/>
  <c r="N379" i="19"/>
  <c r="N380" i="19"/>
  <c r="N381" i="19"/>
  <c r="N382" i="19"/>
  <c r="N354" i="19"/>
  <c r="N355" i="19"/>
  <c r="N356" i="19"/>
  <c r="N357" i="19"/>
  <c r="N358" i="19"/>
  <c r="N359" i="19"/>
  <c r="N360" i="19"/>
  <c r="N361" i="19"/>
  <c r="N362" i="19"/>
  <c r="N363" i="19"/>
  <c r="N364" i="19"/>
  <c r="N365" i="19"/>
  <c r="N366" i="19"/>
  <c r="N367" i="19"/>
  <c r="O339" i="19"/>
  <c r="O340" i="19"/>
  <c r="O341" i="19"/>
  <c r="O342" i="19"/>
  <c r="O343" i="19"/>
  <c r="O344" i="19"/>
  <c r="O345" i="19"/>
  <c r="O346" i="19"/>
  <c r="O347" i="19"/>
  <c r="O348" i="19"/>
  <c r="O349" i="19"/>
  <c r="O350" i="19"/>
  <c r="O351" i="19"/>
  <c r="O352" i="19"/>
  <c r="N339" i="19"/>
  <c r="N340" i="19"/>
  <c r="N341" i="19"/>
  <c r="N342" i="19"/>
  <c r="N343" i="19"/>
  <c r="N344" i="19"/>
  <c r="N345" i="19"/>
  <c r="N346" i="19"/>
  <c r="N347" i="19"/>
  <c r="N348" i="19"/>
  <c r="N349" i="19"/>
  <c r="N350" i="19"/>
  <c r="N351" i="19"/>
  <c r="N352" i="19"/>
  <c r="D404" i="19"/>
  <c r="D405" i="19"/>
  <c r="D406" i="19"/>
  <c r="D407" i="19"/>
  <c r="D408" i="19"/>
  <c r="D409" i="19"/>
  <c r="D410" i="19"/>
  <c r="D411" i="19"/>
  <c r="D412" i="19"/>
  <c r="D403" i="19"/>
  <c r="D394" i="19"/>
  <c r="D395" i="19"/>
  <c r="D396" i="19"/>
  <c r="D397" i="19"/>
  <c r="D398" i="19"/>
  <c r="D399" i="19"/>
  <c r="D400" i="19"/>
  <c r="D401" i="19"/>
  <c r="D402" i="19"/>
  <c r="D393" i="19"/>
  <c r="D383" i="19"/>
  <c r="B137" i="19"/>
  <c r="D384" i="19"/>
  <c r="D385" i="19"/>
  <c r="D386" i="19"/>
  <c r="D387" i="19"/>
  <c r="D388" i="19"/>
  <c r="D389" i="19"/>
  <c r="D390" i="19"/>
  <c r="D391" i="19"/>
  <c r="D392" i="19"/>
  <c r="D137" i="19"/>
  <c r="D370" i="19"/>
  <c r="D371" i="19"/>
  <c r="D372" i="19"/>
  <c r="D373" i="19"/>
  <c r="D374" i="19"/>
  <c r="D375" i="19"/>
  <c r="D376" i="19"/>
  <c r="D377" i="19"/>
  <c r="D378" i="19"/>
  <c r="D379" i="19"/>
  <c r="D380" i="19"/>
  <c r="D381" i="19"/>
  <c r="D382" i="19"/>
  <c r="D369" i="19"/>
  <c r="D354" i="19"/>
  <c r="D355" i="19"/>
  <c r="D356" i="19"/>
  <c r="D357" i="19"/>
  <c r="D358" i="19"/>
  <c r="D359" i="19"/>
  <c r="D360" i="19"/>
  <c r="D361" i="19"/>
  <c r="D362" i="19"/>
  <c r="D363" i="19"/>
  <c r="D364" i="19"/>
  <c r="D365" i="19"/>
  <c r="D366" i="19"/>
  <c r="D367" i="19"/>
  <c r="D339" i="19"/>
  <c r="F338" i="19"/>
  <c r="F339" i="19"/>
  <c r="F340" i="19"/>
  <c r="F341" i="19"/>
  <c r="F342" i="19"/>
  <c r="F343" i="19"/>
  <c r="F344" i="19"/>
  <c r="F345" i="19"/>
  <c r="F346" i="19"/>
  <c r="F347" i="19"/>
  <c r="F348" i="19"/>
  <c r="F349" i="19"/>
  <c r="F350" i="19"/>
  <c r="F351" i="19"/>
  <c r="F352" i="19"/>
  <c r="D343" i="19"/>
  <c r="D340" i="19"/>
  <c r="D341" i="19"/>
  <c r="D342" i="19"/>
  <c r="D344" i="19"/>
  <c r="D345" i="19"/>
  <c r="D346" i="19"/>
  <c r="D347" i="19"/>
  <c r="D348" i="19"/>
  <c r="D349" i="19"/>
  <c r="D350" i="19"/>
  <c r="D351" i="19"/>
  <c r="D352" i="19"/>
  <c r="I337" i="19"/>
  <c r="H337" i="19"/>
  <c r="I336" i="19"/>
  <c r="H336" i="19"/>
  <c r="I335" i="19"/>
  <c r="H335" i="19"/>
  <c r="I334" i="19"/>
  <c r="H334" i="19"/>
  <c r="I333" i="19"/>
  <c r="H333" i="19"/>
  <c r="I332" i="19"/>
  <c r="H332" i="19"/>
  <c r="I331" i="19"/>
  <c r="H331" i="19"/>
  <c r="I330" i="19"/>
  <c r="H330" i="19"/>
  <c r="I329" i="19"/>
  <c r="H329" i="19"/>
  <c r="I328" i="19"/>
  <c r="H328" i="19"/>
  <c r="I327" i="19"/>
  <c r="H327" i="19"/>
  <c r="I326" i="19"/>
  <c r="I321" i="19"/>
  <c r="H321" i="19"/>
  <c r="I320" i="19"/>
  <c r="H320" i="19"/>
  <c r="I319" i="19"/>
  <c r="H319" i="19"/>
  <c r="I318" i="19"/>
  <c r="H318" i="19"/>
  <c r="I317" i="19"/>
  <c r="H317" i="19"/>
  <c r="I312" i="19"/>
  <c r="H312" i="19"/>
  <c r="I311" i="19"/>
  <c r="H311" i="19"/>
  <c r="I310" i="19"/>
  <c r="H310" i="19"/>
  <c r="I309" i="19"/>
  <c r="H309" i="19"/>
  <c r="I308" i="19"/>
  <c r="H308" i="19"/>
  <c r="I303" i="19"/>
  <c r="H303" i="19"/>
  <c r="I302" i="19"/>
  <c r="H302" i="19"/>
  <c r="I301" i="19"/>
  <c r="H301" i="19"/>
  <c r="I300" i="19"/>
  <c r="H300" i="19"/>
  <c r="I294" i="19"/>
  <c r="H294" i="19"/>
  <c r="I293" i="19"/>
  <c r="H293" i="19"/>
  <c r="I292" i="19"/>
  <c r="H292" i="19"/>
  <c r="I291" i="19"/>
  <c r="H291" i="19"/>
  <c r="I290" i="19"/>
  <c r="H290" i="19"/>
  <c r="I285" i="19"/>
  <c r="H285" i="19"/>
  <c r="I284" i="19"/>
  <c r="H284" i="19"/>
  <c r="I283" i="19"/>
  <c r="H283" i="19"/>
  <c r="I282" i="19"/>
  <c r="H282" i="19"/>
  <c r="I281" i="19"/>
  <c r="H281" i="19"/>
  <c r="I276" i="19"/>
  <c r="H276" i="19"/>
  <c r="I275" i="19"/>
  <c r="H275" i="19"/>
  <c r="I274" i="19"/>
  <c r="H274" i="19"/>
  <c r="I273" i="19"/>
  <c r="H273" i="19"/>
  <c r="I272" i="19"/>
  <c r="H272" i="19"/>
  <c r="I267" i="19"/>
  <c r="H267" i="19"/>
  <c r="I266" i="19"/>
  <c r="H266" i="19"/>
  <c r="I265" i="19"/>
  <c r="H265" i="19"/>
  <c r="I264" i="19"/>
  <c r="H264" i="19"/>
  <c r="I263" i="19"/>
  <c r="H263" i="19"/>
  <c r="I258" i="19"/>
  <c r="H258" i="19"/>
  <c r="I257" i="19"/>
  <c r="H257" i="19"/>
  <c r="I256" i="19"/>
  <c r="H256" i="19"/>
  <c r="I255" i="19"/>
  <c r="H255" i="19"/>
  <c r="I254" i="19"/>
  <c r="I249" i="19"/>
  <c r="H249" i="19"/>
  <c r="I248" i="19"/>
  <c r="H248" i="19"/>
  <c r="I247" i="19"/>
  <c r="H247" i="19"/>
  <c r="I246" i="19"/>
  <c r="H246" i="19"/>
  <c r="I245" i="19"/>
  <c r="H245" i="19"/>
  <c r="I240" i="19"/>
  <c r="H240" i="19"/>
  <c r="I239" i="19"/>
  <c r="H239" i="19"/>
  <c r="I238" i="19"/>
  <c r="H238" i="19"/>
  <c r="I237" i="19"/>
  <c r="H237" i="19"/>
  <c r="I236" i="19"/>
  <c r="H236" i="19"/>
  <c r="I231" i="19"/>
  <c r="H231" i="19"/>
  <c r="I230" i="19"/>
  <c r="H230" i="19"/>
  <c r="I229" i="19"/>
  <c r="H229" i="19"/>
  <c r="I228" i="19"/>
  <c r="H228" i="19"/>
  <c r="I227" i="19"/>
  <c r="H227" i="19"/>
  <c r="B222" i="19"/>
  <c r="B221" i="19"/>
  <c r="B220" i="19"/>
  <c r="B219" i="19"/>
  <c r="B218" i="19"/>
  <c r="B213" i="19"/>
  <c r="B212" i="19"/>
  <c r="B211" i="19"/>
  <c r="B210" i="19"/>
  <c r="B209" i="19"/>
  <c r="B204" i="19"/>
  <c r="B203" i="19"/>
  <c r="B202" i="19"/>
  <c r="B201" i="19"/>
  <c r="B200" i="19"/>
  <c r="B195" i="19"/>
  <c r="B194" i="19"/>
  <c r="B193" i="19"/>
  <c r="B192" i="19"/>
  <c r="B191" i="19"/>
  <c r="B186" i="19"/>
  <c r="B185" i="19"/>
  <c r="B184" i="19"/>
  <c r="B183" i="19"/>
  <c r="B182" i="19"/>
  <c r="B177" i="19"/>
  <c r="B176" i="19"/>
  <c r="B175" i="19"/>
  <c r="B174" i="19"/>
  <c r="B173" i="19"/>
  <c r="B168" i="19"/>
  <c r="B167" i="19"/>
  <c r="B166" i="19"/>
  <c r="B165" i="19"/>
  <c r="B164" i="19"/>
  <c r="B159" i="19"/>
  <c r="B158" i="19"/>
  <c r="B157" i="19"/>
  <c r="B156" i="19"/>
  <c r="B155" i="19"/>
  <c r="B149" i="19"/>
  <c r="B148" i="19"/>
  <c r="B147" i="19"/>
  <c r="B141" i="19"/>
  <c r="B140" i="19"/>
  <c r="B139" i="19"/>
  <c r="B138" i="19"/>
  <c r="B132" i="19"/>
  <c r="B131" i="19"/>
  <c r="B130" i="19"/>
  <c r="B129" i="19"/>
  <c r="B128" i="19"/>
  <c r="B123" i="19"/>
  <c r="B122" i="19"/>
  <c r="B121" i="19"/>
  <c r="B120" i="19"/>
  <c r="B119" i="19"/>
  <c r="B113" i="19"/>
  <c r="B112" i="19"/>
  <c r="B111" i="19"/>
  <c r="B110" i="19"/>
  <c r="B105" i="19"/>
  <c r="B104" i="19"/>
  <c r="B103" i="19"/>
  <c r="B102" i="19"/>
  <c r="B101" i="19"/>
  <c r="B96" i="19"/>
  <c r="B95" i="19"/>
  <c r="B94" i="19"/>
  <c r="B93" i="19"/>
  <c r="B92" i="19"/>
  <c r="B87" i="19"/>
  <c r="B86" i="19"/>
  <c r="B85" i="19"/>
  <c r="B84" i="19"/>
  <c r="B83" i="19"/>
  <c r="B78" i="19"/>
  <c r="B77" i="19"/>
  <c r="B76" i="19"/>
  <c r="B75" i="19"/>
  <c r="B74" i="19"/>
  <c r="B68" i="19"/>
  <c r="B67" i="19"/>
  <c r="B66" i="19"/>
  <c r="B65" i="19"/>
  <c r="B60" i="19"/>
  <c r="B59" i="19"/>
  <c r="B58" i="19"/>
  <c r="B57" i="19"/>
  <c r="B56" i="19"/>
  <c r="B51" i="19"/>
  <c r="B50" i="19"/>
  <c r="B49" i="19"/>
  <c r="B48" i="19"/>
  <c r="B47" i="19"/>
  <c r="B42" i="19"/>
  <c r="B41" i="19"/>
  <c r="B40" i="19"/>
  <c r="B39" i="19"/>
  <c r="B38" i="19"/>
  <c r="B29" i="19"/>
  <c r="B32" i="19"/>
  <c r="B31" i="19"/>
  <c r="B30" i="19"/>
  <c r="B24" i="19"/>
  <c r="B23" i="19"/>
  <c r="B22" i="19"/>
  <c r="B21" i="19"/>
  <c r="B20" i="19"/>
  <c r="B14" i="19"/>
  <c r="B13" i="19"/>
  <c r="B12" i="19"/>
  <c r="B11" i="19"/>
  <c r="B4" i="19"/>
  <c r="B3" i="19"/>
  <c r="D219" i="19"/>
  <c r="D220" i="19"/>
  <c r="D221" i="19"/>
  <c r="D222" i="19"/>
  <c r="D218" i="19"/>
  <c r="D210" i="19"/>
  <c r="D211" i="19"/>
  <c r="D212" i="19"/>
  <c r="D213" i="19"/>
  <c r="D209" i="19"/>
  <c r="D201" i="19"/>
  <c r="D202" i="19"/>
  <c r="D203" i="19"/>
  <c r="D204" i="19"/>
  <c r="D200" i="19"/>
  <c r="D192" i="19"/>
  <c r="D193" i="19"/>
  <c r="D194" i="19"/>
  <c r="D195" i="19"/>
  <c r="D191" i="19"/>
  <c r="D183" i="19"/>
  <c r="D184" i="19"/>
  <c r="D185" i="19"/>
  <c r="D186" i="19"/>
  <c r="D182" i="19"/>
  <c r="D174" i="19"/>
  <c r="D175" i="19"/>
  <c r="D176" i="19"/>
  <c r="D177" i="19"/>
  <c r="D173" i="19"/>
  <c r="D165" i="19"/>
  <c r="D166" i="19"/>
  <c r="D167" i="19"/>
  <c r="D168" i="19"/>
  <c r="D164" i="19"/>
  <c r="D156" i="19"/>
  <c r="D157" i="19"/>
  <c r="D158" i="19"/>
  <c r="D159" i="19"/>
  <c r="D155" i="19"/>
  <c r="D147" i="19"/>
  <c r="D148" i="19"/>
  <c r="D149" i="19"/>
  <c r="D150" i="19"/>
  <c r="D146" i="19"/>
  <c r="D138" i="19"/>
  <c r="D139" i="19"/>
  <c r="D140" i="19"/>
  <c r="D141" i="19"/>
  <c r="D129" i="19"/>
  <c r="D130" i="19"/>
  <c r="D131" i="19"/>
  <c r="D132" i="19"/>
  <c r="D128" i="19"/>
  <c r="D120" i="19"/>
  <c r="D121" i="19"/>
  <c r="D122" i="19"/>
  <c r="D123" i="19"/>
  <c r="D119" i="19"/>
  <c r="D111" i="19"/>
  <c r="D112" i="19"/>
  <c r="D113" i="19"/>
  <c r="D114" i="19"/>
  <c r="D110" i="19"/>
  <c r="D102" i="19"/>
  <c r="D103" i="19"/>
  <c r="D104" i="19"/>
  <c r="D105" i="19"/>
  <c r="D101" i="19"/>
  <c r="D93" i="19"/>
  <c r="D94" i="19"/>
  <c r="D95" i="19"/>
  <c r="D96" i="19"/>
  <c r="D92" i="19"/>
  <c r="D84" i="19"/>
  <c r="D85" i="19"/>
  <c r="D86" i="19"/>
  <c r="D87" i="19"/>
  <c r="D83" i="19"/>
  <c r="D75" i="19"/>
  <c r="D76" i="19"/>
  <c r="D77" i="19"/>
  <c r="D78" i="19"/>
  <c r="D74" i="19"/>
  <c r="D66" i="19"/>
  <c r="D67" i="19"/>
  <c r="D68" i="19"/>
  <c r="D69" i="19"/>
  <c r="D65" i="19"/>
  <c r="D57" i="19"/>
  <c r="D58" i="19"/>
  <c r="D59" i="19"/>
  <c r="D60" i="19"/>
  <c r="D56" i="19"/>
  <c r="D48" i="19"/>
  <c r="D49" i="19"/>
  <c r="D50" i="19"/>
  <c r="D51" i="19"/>
  <c r="D47" i="19"/>
  <c r="D39" i="19"/>
  <c r="D40" i="19"/>
  <c r="D41" i="19"/>
  <c r="D42" i="19"/>
  <c r="D38" i="19"/>
  <c r="D30" i="19"/>
  <c r="D31" i="19"/>
  <c r="D32" i="19"/>
  <c r="D33" i="19"/>
  <c r="D29" i="19"/>
  <c r="D24" i="19"/>
  <c r="I222" i="19"/>
  <c r="H222" i="19"/>
  <c r="I221" i="19"/>
  <c r="H221" i="19"/>
  <c r="I220" i="19"/>
  <c r="H220" i="19"/>
  <c r="I219" i="19"/>
  <c r="H219" i="19"/>
  <c r="I218" i="19"/>
  <c r="H218" i="19"/>
  <c r="I213" i="19"/>
  <c r="H213" i="19"/>
  <c r="I212" i="19"/>
  <c r="H212" i="19"/>
  <c r="I211" i="19"/>
  <c r="H211" i="19"/>
  <c r="I210" i="19"/>
  <c r="H210" i="19"/>
  <c r="I209" i="19"/>
  <c r="H209" i="19"/>
  <c r="I204" i="19"/>
  <c r="H204" i="19"/>
  <c r="I203" i="19"/>
  <c r="H203" i="19"/>
  <c r="I202" i="19"/>
  <c r="H202" i="19"/>
  <c r="I201" i="19"/>
  <c r="H201" i="19"/>
  <c r="I200" i="19"/>
  <c r="H200" i="19"/>
  <c r="I195" i="19"/>
  <c r="H195" i="19"/>
  <c r="I194" i="19"/>
  <c r="H194" i="19"/>
  <c r="I193" i="19"/>
  <c r="H193" i="19"/>
  <c r="I192" i="19"/>
  <c r="H192" i="19"/>
  <c r="I191" i="19"/>
  <c r="H191" i="19"/>
  <c r="I186" i="19"/>
  <c r="H186" i="19"/>
  <c r="I185" i="19"/>
  <c r="H185" i="19"/>
  <c r="I184" i="19"/>
  <c r="H184" i="19"/>
  <c r="I183" i="19"/>
  <c r="H183" i="19"/>
  <c r="I182" i="19"/>
  <c r="H182" i="19"/>
  <c r="I177" i="19"/>
  <c r="H177" i="19"/>
  <c r="I176" i="19"/>
  <c r="H176" i="19"/>
  <c r="I175" i="19"/>
  <c r="H175" i="19"/>
  <c r="I174" i="19"/>
  <c r="H174" i="19"/>
  <c r="I173" i="19"/>
  <c r="H173" i="19"/>
  <c r="I168" i="19"/>
  <c r="H168" i="19"/>
  <c r="I167" i="19"/>
  <c r="H167" i="19"/>
  <c r="I166" i="19"/>
  <c r="H166" i="19"/>
  <c r="I165" i="19"/>
  <c r="H165" i="19"/>
  <c r="I164" i="19"/>
  <c r="H164" i="19"/>
  <c r="I159" i="19"/>
  <c r="H159" i="19"/>
  <c r="I158" i="19"/>
  <c r="H158" i="19"/>
  <c r="I157" i="19"/>
  <c r="H157" i="19"/>
  <c r="I156" i="19"/>
  <c r="H156" i="19"/>
  <c r="I155" i="19"/>
  <c r="H155" i="19"/>
  <c r="I150" i="19"/>
  <c r="H150" i="19"/>
  <c r="I149" i="19"/>
  <c r="H149" i="19"/>
  <c r="I148" i="19"/>
  <c r="H148" i="19"/>
  <c r="I147" i="19"/>
  <c r="H147" i="19"/>
  <c r="I146" i="19"/>
  <c r="H146" i="19"/>
  <c r="I141" i="19"/>
  <c r="H141" i="19"/>
  <c r="I140" i="19"/>
  <c r="H140" i="19"/>
  <c r="I139" i="19"/>
  <c r="H139" i="19"/>
  <c r="I138" i="19"/>
  <c r="H138" i="19"/>
  <c r="I137" i="19"/>
  <c r="H137" i="19"/>
  <c r="I132" i="19"/>
  <c r="H132" i="19"/>
  <c r="I131" i="19"/>
  <c r="H131" i="19"/>
  <c r="I130" i="19"/>
  <c r="H130" i="19"/>
  <c r="I129" i="19"/>
  <c r="H129" i="19"/>
  <c r="I128" i="19"/>
  <c r="H128" i="19"/>
  <c r="I123" i="19"/>
  <c r="H123" i="19"/>
  <c r="I122" i="19"/>
  <c r="H122" i="19"/>
  <c r="I121" i="19"/>
  <c r="H121" i="19"/>
  <c r="I120" i="19"/>
  <c r="H120" i="19"/>
  <c r="I119" i="19"/>
  <c r="H119" i="19"/>
  <c r="I114" i="19"/>
  <c r="H114" i="19"/>
  <c r="I113" i="19"/>
  <c r="H113" i="19"/>
  <c r="I112" i="19"/>
  <c r="H112" i="19"/>
  <c r="I111" i="19"/>
  <c r="H111" i="19"/>
  <c r="I110" i="19"/>
  <c r="H110" i="19"/>
  <c r="I105" i="19"/>
  <c r="H105" i="19"/>
  <c r="I104" i="19"/>
  <c r="H104" i="19"/>
  <c r="I103" i="19"/>
  <c r="H103" i="19"/>
  <c r="I102" i="19"/>
  <c r="H102" i="19"/>
  <c r="I101" i="19"/>
  <c r="H101" i="19"/>
  <c r="I96" i="19"/>
  <c r="H96" i="19"/>
  <c r="I95" i="19"/>
  <c r="H95" i="19"/>
  <c r="I94" i="19"/>
  <c r="H94" i="19"/>
  <c r="I93" i="19"/>
  <c r="H93" i="19"/>
  <c r="I92" i="19"/>
  <c r="H92" i="19"/>
  <c r="I87" i="19"/>
  <c r="H87" i="19"/>
  <c r="I86" i="19"/>
  <c r="H86" i="19"/>
  <c r="I85" i="19"/>
  <c r="H85" i="19"/>
  <c r="I84" i="19"/>
  <c r="H84" i="19"/>
  <c r="I83" i="19"/>
  <c r="H83" i="19"/>
  <c r="I78" i="19"/>
  <c r="H78" i="19"/>
  <c r="I77" i="19"/>
  <c r="H77" i="19"/>
  <c r="I76" i="19"/>
  <c r="H76" i="19"/>
  <c r="I75" i="19"/>
  <c r="H75" i="19"/>
  <c r="I74" i="19"/>
  <c r="I69" i="19"/>
  <c r="H69" i="19"/>
  <c r="I68" i="19"/>
  <c r="H68" i="19"/>
  <c r="I67" i="19"/>
  <c r="H67" i="19"/>
  <c r="I66" i="19"/>
  <c r="H66" i="19"/>
  <c r="I65" i="19"/>
  <c r="H65" i="19"/>
  <c r="I60" i="19"/>
  <c r="H60" i="19"/>
  <c r="I59" i="19"/>
  <c r="H59" i="19"/>
  <c r="I58" i="19"/>
  <c r="H58" i="19"/>
  <c r="I57" i="19"/>
  <c r="H57" i="19"/>
  <c r="I56" i="19"/>
  <c r="H56" i="19"/>
  <c r="I51" i="19"/>
  <c r="H51" i="19"/>
  <c r="I50" i="19"/>
  <c r="H50" i="19"/>
  <c r="I49" i="19"/>
  <c r="H49" i="19"/>
  <c r="I48" i="19"/>
  <c r="H48" i="19"/>
  <c r="I47" i="19"/>
  <c r="H47" i="19"/>
  <c r="I42" i="19"/>
  <c r="H42" i="19"/>
  <c r="I41" i="19"/>
  <c r="H41" i="19"/>
  <c r="I40" i="19"/>
  <c r="H40" i="19"/>
  <c r="I39" i="19"/>
  <c r="H39" i="19"/>
  <c r="I38" i="19"/>
  <c r="H38" i="19"/>
  <c r="I33" i="19"/>
  <c r="H33" i="19"/>
  <c r="I32" i="19"/>
  <c r="H32" i="19"/>
  <c r="I31" i="19"/>
  <c r="H31" i="19"/>
  <c r="I30" i="19"/>
  <c r="H30" i="19"/>
  <c r="I29" i="19"/>
  <c r="H29" i="19"/>
  <c r="I24" i="19"/>
  <c r="I23" i="19"/>
  <c r="H23" i="19"/>
  <c r="I22" i="19"/>
  <c r="H22" i="19"/>
  <c r="I21" i="19"/>
  <c r="H21" i="19"/>
  <c r="I20" i="19"/>
  <c r="H20" i="19"/>
  <c r="D21" i="19"/>
  <c r="D22" i="19"/>
  <c r="D23" i="19"/>
  <c r="D20" i="19"/>
  <c r="I15" i="19"/>
  <c r="I14" i="19"/>
  <c r="I13" i="19"/>
  <c r="I12" i="19"/>
  <c r="I11" i="19"/>
  <c r="H14" i="19"/>
  <c r="H13" i="19"/>
  <c r="H12" i="19"/>
  <c r="H11" i="19"/>
  <c r="D12" i="19"/>
  <c r="D13" i="19"/>
  <c r="D14" i="19"/>
  <c r="D15" i="19"/>
  <c r="I5" i="19"/>
  <c r="I4" i="19"/>
  <c r="I3" i="19"/>
  <c r="I2" i="19"/>
  <c r="H6" i="19"/>
  <c r="H5" i="19"/>
  <c r="H4" i="19"/>
  <c r="H2" i="19"/>
  <c r="H3" i="19"/>
  <c r="K12" i="7"/>
  <c r="K20" i="7"/>
  <c r="H20" i="16"/>
  <c r="H20" i="7" s="1"/>
  <c r="H19" i="16"/>
  <c r="H19" i="7" s="1"/>
  <c r="H18" i="16"/>
  <c r="H18" i="7" s="1"/>
  <c r="H17" i="16"/>
  <c r="H17" i="7" s="1"/>
  <c r="H16" i="16"/>
  <c r="H16" i="7" s="1"/>
  <c r="H15" i="16"/>
  <c r="H15" i="7" s="1"/>
  <c r="H14" i="16"/>
  <c r="H14" i="7" s="1"/>
  <c r="H13" i="16"/>
  <c r="H13" i="7" s="1"/>
  <c r="H12" i="16"/>
  <c r="H12" i="7" s="1"/>
  <c r="H11" i="16"/>
  <c r="H11" i="7" s="1"/>
  <c r="H10" i="16"/>
  <c r="H10" i="7" s="1"/>
  <c r="H9" i="16"/>
  <c r="H9" i="7" s="1"/>
  <c r="H8" i="16"/>
  <c r="H8" i="7" s="1"/>
  <c r="H7" i="16"/>
  <c r="H7" i="7" s="1"/>
  <c r="H6" i="16"/>
  <c r="H6" i="7" s="1"/>
  <c r="A18" i="9"/>
  <c r="A18" i="12" s="1"/>
  <c r="A19" i="9"/>
  <c r="A19" i="12" s="1"/>
  <c r="A20" i="9"/>
  <c r="A20" i="12" s="1"/>
  <c r="A21" i="9"/>
  <c r="A21" i="12" s="1"/>
  <c r="A22" i="9"/>
  <c r="A22" i="12" s="1"/>
  <c r="A23" i="9"/>
  <c r="A23" i="12" s="1"/>
  <c r="A24" i="9"/>
  <c r="A24" i="12" s="1"/>
  <c r="A25" i="9"/>
  <c r="A25" i="12" s="1"/>
  <c r="A26" i="9"/>
  <c r="A26" i="12" s="1"/>
  <c r="A27" i="9"/>
  <c r="A27" i="12" s="1"/>
  <c r="E46" i="1"/>
  <c r="S40" i="27"/>
  <c r="B274" i="19" s="1"/>
  <c r="Q40" i="27"/>
  <c r="R11" i="3"/>
  <c r="S68" i="27"/>
  <c r="B310" i="19" s="1"/>
  <c r="W68" i="27"/>
  <c r="B314" i="19" s="1"/>
  <c r="T68" i="27"/>
  <c r="B311" i="19" s="1"/>
  <c r="Q68" i="27"/>
  <c r="V68" i="27"/>
  <c r="B313" i="19" s="1"/>
  <c r="U68" i="27"/>
  <c r="B312" i="19" s="1"/>
  <c r="R68" i="27"/>
  <c r="B309" i="19" s="1"/>
  <c r="U54" i="27"/>
  <c r="B294" i="19" s="1"/>
  <c r="T54" i="27"/>
  <c r="B293" i="19" s="1"/>
  <c r="R54" i="27"/>
  <c r="B291" i="19" s="1"/>
  <c r="V54" i="27"/>
  <c r="S54" i="27"/>
  <c r="B292" i="19" s="1"/>
  <c r="W54" i="27"/>
  <c r="B296" i="19" s="1"/>
  <c r="Q54" i="27"/>
  <c r="J2" i="3"/>
  <c r="C10" i="18"/>
  <c r="O353" i="19"/>
  <c r="I2" i="3"/>
  <c r="B2" i="18" s="1"/>
  <c r="R9" i="3"/>
  <c r="J6" i="3"/>
  <c r="C11" i="18" l="1"/>
  <c r="H82" i="27"/>
  <c r="B322" i="19" s="1"/>
  <c r="G68" i="27"/>
  <c r="B303" i="19" s="1"/>
  <c r="F40" i="27"/>
  <c r="B266" i="19" s="1"/>
  <c r="R12" i="3"/>
  <c r="C12" i="18"/>
  <c r="F54" i="27"/>
  <c r="B284" i="19" s="1"/>
  <c r="J8" i="3"/>
  <c r="E68" i="27"/>
  <c r="B301" i="19" s="1"/>
  <c r="L81" i="1"/>
  <c r="J40" i="27"/>
  <c r="K40" i="27"/>
  <c r="C9" i="18"/>
  <c r="P81" i="1"/>
  <c r="K54" i="27"/>
  <c r="J54" i="27"/>
  <c r="G40" i="27"/>
  <c r="B267" i="19" s="1"/>
  <c r="B308" i="19"/>
  <c r="H68" i="27"/>
  <c r="B304" i="19" s="1"/>
  <c r="R10" i="3"/>
  <c r="C54" i="27"/>
  <c r="E40" i="27"/>
  <c r="B265" i="19" s="1"/>
  <c r="V81" i="1"/>
  <c r="Y68" i="27"/>
  <c r="X68" i="27"/>
  <c r="R81" i="1"/>
  <c r="Y54" i="27"/>
  <c r="X54" i="27"/>
  <c r="N81" i="1"/>
  <c r="Y40" i="27"/>
  <c r="X40" i="27"/>
  <c r="J81" i="1"/>
  <c r="Y26" i="27"/>
  <c r="X26" i="27"/>
  <c r="F81" i="1"/>
  <c r="Y12" i="27"/>
  <c r="X12" i="27"/>
  <c r="D81" i="1"/>
  <c r="K12" i="27"/>
  <c r="J12" i="27"/>
  <c r="X81" i="1"/>
  <c r="K82" i="27"/>
  <c r="J82" i="27"/>
  <c r="T81" i="1"/>
  <c r="K68" i="27"/>
  <c r="J68" i="27"/>
  <c r="F82" i="27"/>
  <c r="B320" i="19" s="1"/>
  <c r="H54" i="27"/>
  <c r="B286" i="19" s="1"/>
  <c r="R8" i="3"/>
  <c r="R6" i="3"/>
  <c r="C68" i="27"/>
  <c r="B290" i="19"/>
  <c r="I82" i="27"/>
  <c r="B323" i="19" s="1"/>
  <c r="D54" i="27"/>
  <c r="B282" i="19" s="1"/>
  <c r="H40" i="27"/>
  <c r="B268" i="19" s="1"/>
  <c r="B272" i="19"/>
  <c r="F68" i="27"/>
  <c r="B302" i="19" s="1"/>
  <c r="J5" i="3"/>
  <c r="E82" i="27"/>
  <c r="B319" i="19" s="1"/>
  <c r="E54" i="27"/>
  <c r="B283" i="19" s="1"/>
  <c r="G54" i="27"/>
  <c r="B285" i="19" s="1"/>
  <c r="D40" i="27"/>
  <c r="B264" i="19" s="1"/>
  <c r="C40" i="27"/>
  <c r="I68" i="27"/>
  <c r="B305" i="19" s="1"/>
  <c r="D2" i="28"/>
  <c r="D11" i="28"/>
  <c r="D10" i="28"/>
  <c r="H81" i="1"/>
  <c r="J26" i="27"/>
  <c r="K26" i="27"/>
  <c r="A10" i="19"/>
  <c r="A9" i="19"/>
  <c r="A37" i="19"/>
  <c r="A36" i="19"/>
  <c r="A115" i="19"/>
  <c r="A117" i="19"/>
  <c r="A118" i="19"/>
  <c r="A75" i="19"/>
  <c r="A81" i="19"/>
  <c r="A82" i="19"/>
  <c r="A212" i="19"/>
  <c r="A217" i="19"/>
  <c r="A216" i="19"/>
  <c r="A178" i="19"/>
  <c r="A180" i="19"/>
  <c r="A181" i="19"/>
  <c r="A374" i="19"/>
  <c r="A64" i="19"/>
  <c r="A63" i="19"/>
  <c r="A20" i="19"/>
  <c r="A27" i="19"/>
  <c r="A28" i="19"/>
  <c r="A107" i="19"/>
  <c r="A109" i="19"/>
  <c r="A108" i="19"/>
  <c r="A71" i="19"/>
  <c r="A72" i="19"/>
  <c r="A73" i="19"/>
  <c r="A206" i="19"/>
  <c r="A207" i="19"/>
  <c r="A208" i="19"/>
  <c r="A170" i="19"/>
  <c r="A171" i="19"/>
  <c r="A172" i="19"/>
  <c r="A53" i="19"/>
  <c r="A55" i="19"/>
  <c r="A54" i="19"/>
  <c r="A129" i="19"/>
  <c r="A135" i="19"/>
  <c r="A136" i="19"/>
  <c r="A92" i="19"/>
  <c r="A99" i="19"/>
  <c r="A100" i="19"/>
  <c r="B18" i="9"/>
  <c r="B18" i="12" s="1"/>
  <c r="A145" i="19"/>
  <c r="A144" i="19"/>
  <c r="A409" i="19"/>
  <c r="A199" i="19"/>
  <c r="A198" i="19"/>
  <c r="A158" i="19"/>
  <c r="A163" i="19"/>
  <c r="A162" i="19"/>
  <c r="A45" i="19"/>
  <c r="A46" i="19"/>
  <c r="A381" i="19"/>
  <c r="A127" i="19"/>
  <c r="A126" i="19"/>
  <c r="A83" i="19"/>
  <c r="A91" i="19"/>
  <c r="A90" i="19"/>
  <c r="A392" i="19"/>
  <c r="A226" i="19"/>
  <c r="A225" i="19"/>
  <c r="A187" i="19"/>
  <c r="A189" i="19"/>
  <c r="A190" i="19"/>
  <c r="A154" i="19"/>
  <c r="A153" i="19"/>
  <c r="B383" i="19"/>
  <c r="C18" i="9"/>
  <c r="P58" i="1"/>
  <c r="P59" i="1"/>
  <c r="B389" i="19"/>
  <c r="B388" i="19"/>
  <c r="P57" i="1"/>
  <c r="W28" i="1"/>
  <c r="F8" i="16" s="1"/>
  <c r="F8" i="7" s="1"/>
  <c r="W38" i="1"/>
  <c r="F18" i="16" s="1"/>
  <c r="F18" i="7" s="1"/>
  <c r="I14" i="16"/>
  <c r="I14" i="7" s="1"/>
  <c r="O368" i="19"/>
  <c r="I12" i="16"/>
  <c r="I12" i="7" s="1"/>
  <c r="I20" i="16"/>
  <c r="I20" i="7" s="1"/>
  <c r="W34" i="1"/>
  <c r="F14" i="16" s="1"/>
  <c r="F14" i="7" s="1"/>
  <c r="B350" i="19"/>
  <c r="B342" i="19"/>
  <c r="W30" i="1"/>
  <c r="F10" i="16" s="1"/>
  <c r="F10" i="7" s="1"/>
  <c r="A38" i="19"/>
  <c r="A15" i="19"/>
  <c r="A34" i="19"/>
  <c r="C68" i="1"/>
  <c r="W29" i="1"/>
  <c r="F9" i="16" s="1"/>
  <c r="F9" i="7" s="1"/>
  <c r="B341" i="19"/>
  <c r="C69" i="1"/>
  <c r="H63" i="27"/>
  <c r="D49" i="27"/>
  <c r="D53" i="27" s="1"/>
  <c r="P56" i="1"/>
  <c r="U21" i="27"/>
  <c r="U25" i="27" s="1"/>
  <c r="H77" i="27"/>
  <c r="H81" i="27" s="1"/>
  <c r="H83" i="27" s="1"/>
  <c r="H21" i="27"/>
  <c r="H25" i="27" s="1"/>
  <c r="U35" i="27"/>
  <c r="U39" i="27" s="1"/>
  <c r="U63" i="27"/>
  <c r="U67" i="27" s="1"/>
  <c r="U69" i="27" s="1"/>
  <c r="U7" i="27"/>
  <c r="U11" i="27" s="1"/>
  <c r="H49" i="27"/>
  <c r="H53" i="27" s="1"/>
  <c r="H55" i="27" s="1"/>
  <c r="F35" i="27"/>
  <c r="D77" i="27"/>
  <c r="D81" i="27" s="1"/>
  <c r="D83" i="27" s="1"/>
  <c r="D21" i="27"/>
  <c r="D25" i="27" s="1"/>
  <c r="D26" i="27" s="1"/>
  <c r="T21" i="27"/>
  <c r="T25" i="27" s="1"/>
  <c r="G35" i="27"/>
  <c r="G39" i="27" s="1"/>
  <c r="G41" i="27" s="1"/>
  <c r="I77" i="27"/>
  <c r="I81" i="27" s="1"/>
  <c r="H35" i="27"/>
  <c r="H39" i="27" s="1"/>
  <c r="H41" i="27" s="1"/>
  <c r="R2" i="3"/>
  <c r="T40" i="27"/>
  <c r="B275" i="19" s="1"/>
  <c r="R7" i="3"/>
  <c r="A56" i="19"/>
  <c r="V40" i="27"/>
  <c r="B277" i="19" s="1"/>
  <c r="C12" i="16"/>
  <c r="C12" i="7" s="1"/>
  <c r="R40" i="27"/>
  <c r="B273" i="19" s="1"/>
  <c r="U40" i="27"/>
  <c r="B276" i="19" s="1"/>
  <c r="W40" i="27"/>
  <c r="B278" i="19" s="1"/>
  <c r="Z63" i="27"/>
  <c r="Z67" i="27" s="1"/>
  <c r="H74" i="1"/>
  <c r="V49" i="27"/>
  <c r="V53" i="27" s="1"/>
  <c r="V55" i="27" s="1"/>
  <c r="V21" i="27"/>
  <c r="V25" i="27" s="1"/>
  <c r="N353" i="19"/>
  <c r="N368" i="19"/>
  <c r="D6" i="16"/>
  <c r="D6" i="7" s="1"/>
  <c r="H21" i="16"/>
  <c r="H21" i="7" s="1"/>
  <c r="Q63" i="27"/>
  <c r="Q67" i="27" s="1"/>
  <c r="Q69" i="27" s="1"/>
  <c r="H7" i="27"/>
  <c r="H11" i="27" s="1"/>
  <c r="H12" i="27" s="1"/>
  <c r="B232" i="19" s="1"/>
  <c r="A364" i="19"/>
  <c r="A61" i="19"/>
  <c r="W26" i="27"/>
  <c r="B260" i="19" s="1"/>
  <c r="U26" i="27"/>
  <c r="B258" i="19" s="1"/>
  <c r="S26" i="27"/>
  <c r="B256" i="19" s="1"/>
  <c r="Q26" i="27"/>
  <c r="V26" i="27"/>
  <c r="B259" i="19" s="1"/>
  <c r="T26" i="27"/>
  <c r="B257" i="19" s="1"/>
  <c r="R26" i="27"/>
  <c r="B255" i="19" s="1"/>
  <c r="R5" i="3"/>
  <c r="A391" i="19"/>
  <c r="R4" i="3"/>
  <c r="C8" i="16"/>
  <c r="C8" i="7" s="1"/>
  <c r="A21" i="19"/>
  <c r="A60" i="19"/>
  <c r="A355" i="19"/>
  <c r="C9" i="16"/>
  <c r="C9" i="7" s="1"/>
  <c r="A390" i="19"/>
  <c r="A111" i="19"/>
  <c r="A346" i="19"/>
  <c r="A356" i="19"/>
  <c r="A176" i="19"/>
  <c r="B27" i="9"/>
  <c r="B27" i="12" s="1"/>
  <c r="A377" i="19"/>
  <c r="A123" i="19"/>
  <c r="A222" i="19"/>
  <c r="A398" i="19"/>
  <c r="A221" i="19"/>
  <c r="A87" i="19"/>
  <c r="A366" i="19"/>
  <c r="C19" i="16"/>
  <c r="C19" i="7" s="1"/>
  <c r="A388" i="19"/>
  <c r="A86" i="19"/>
  <c r="G63" i="27"/>
  <c r="G67" i="27" s="1"/>
  <c r="G69" i="27" s="1"/>
  <c r="T49" i="27"/>
  <c r="T53" i="27" s="1"/>
  <c r="T55" i="27" s="1"/>
  <c r="R49" i="27"/>
  <c r="R53" i="27" s="1"/>
  <c r="R55" i="27" s="1"/>
  <c r="R21" i="27"/>
  <c r="R25" i="27" s="1"/>
  <c r="R3" i="3"/>
  <c r="C3" i="18"/>
  <c r="B26" i="9"/>
  <c r="B26" i="12" s="1"/>
  <c r="A74" i="19"/>
  <c r="A213" i="19"/>
  <c r="A407" i="19"/>
  <c r="A113" i="19"/>
  <c r="B22" i="9"/>
  <c r="B22" i="12" s="1"/>
  <c r="A76" i="19"/>
  <c r="A359" i="19"/>
  <c r="A411" i="19"/>
  <c r="A31" i="19"/>
  <c r="A387" i="19"/>
  <c r="A350" i="19"/>
  <c r="A77" i="19"/>
  <c r="A210" i="19"/>
  <c r="A147" i="19"/>
  <c r="A149" i="19"/>
  <c r="A7" i="19"/>
  <c r="A394" i="19"/>
  <c r="A4" i="19"/>
  <c r="A151" i="19"/>
  <c r="A5" i="19"/>
  <c r="D74" i="1"/>
  <c r="A128" i="19"/>
  <c r="A159" i="19"/>
  <c r="A389" i="19"/>
  <c r="E74" i="1"/>
  <c r="B384" i="19"/>
  <c r="C19" i="9"/>
  <c r="C19" i="12" s="1"/>
  <c r="C18" i="12"/>
  <c r="W27" i="1"/>
  <c r="F7" i="16" s="1"/>
  <c r="F7" i="7" s="1"/>
  <c r="B339" i="19"/>
  <c r="Z35" i="27"/>
  <c r="Z39" i="27" s="1"/>
  <c r="C4" i="28"/>
  <c r="D12" i="28"/>
  <c r="D9" i="28"/>
  <c r="D5" i="28"/>
  <c r="D8" i="28"/>
  <c r="C2" i="28"/>
  <c r="D7" i="28"/>
  <c r="D4" i="28"/>
  <c r="D6" i="28"/>
  <c r="C73" i="1"/>
  <c r="C74" i="1"/>
  <c r="G74" i="1"/>
  <c r="A202" i="19"/>
  <c r="C13" i="16"/>
  <c r="C13" i="7" s="1"/>
  <c r="A137" i="19"/>
  <c r="A360" i="19"/>
  <c r="C11" i="16"/>
  <c r="C11" i="7" s="1"/>
  <c r="A104" i="19"/>
  <c r="A47" i="19"/>
  <c r="A385" i="19"/>
  <c r="A382" i="19"/>
  <c r="A406" i="19"/>
  <c r="A345" i="19"/>
  <c r="A138" i="19"/>
  <c r="A106" i="19"/>
  <c r="A166" i="19"/>
  <c r="A400" i="19"/>
  <c r="A203" i="19"/>
  <c r="A375" i="19"/>
  <c r="A68" i="19"/>
  <c r="A102" i="19"/>
  <c r="A51" i="19"/>
  <c r="A358" i="19"/>
  <c r="C16" i="16"/>
  <c r="C16" i="7" s="1"/>
  <c r="C7" i="16"/>
  <c r="C7" i="7" s="1"/>
  <c r="A196" i="19"/>
  <c r="A396" i="19"/>
  <c r="A386" i="19"/>
  <c r="A204" i="19"/>
  <c r="A201" i="19"/>
  <c r="A67" i="19"/>
  <c r="A379" i="19"/>
  <c r="A50" i="19"/>
  <c r="A52" i="19"/>
  <c r="B24" i="9"/>
  <c r="B24" i="12" s="1"/>
  <c r="C17" i="16"/>
  <c r="C17" i="7" s="1"/>
  <c r="A11" i="19"/>
  <c r="A155" i="19"/>
  <c r="A192" i="19"/>
  <c r="A348" i="19"/>
  <c r="A40" i="19"/>
  <c r="A168" i="19"/>
  <c r="A169" i="19"/>
  <c r="A200" i="19"/>
  <c r="A65" i="19"/>
  <c r="A69" i="19"/>
  <c r="A103" i="19"/>
  <c r="A349" i="19"/>
  <c r="A373" i="19"/>
  <c r="C7" i="18"/>
  <c r="C4" i="18"/>
  <c r="C82" i="27"/>
  <c r="G82" i="27"/>
  <c r="B321" i="19" s="1"/>
  <c r="A8" i="19"/>
  <c r="A338" i="19"/>
  <c r="A2" i="19"/>
  <c r="A3" i="19"/>
  <c r="C6" i="16"/>
  <c r="C6" i="7" s="1"/>
  <c r="A35" i="19"/>
  <c r="A29" i="19"/>
  <c r="A371" i="19"/>
  <c r="A32" i="19"/>
  <c r="A30" i="19"/>
  <c r="A33" i="19"/>
  <c r="A125" i="19"/>
  <c r="A124" i="19"/>
  <c r="A120" i="19"/>
  <c r="A121" i="19"/>
  <c r="A351" i="19"/>
  <c r="A89" i="19"/>
  <c r="A362" i="19"/>
  <c r="A88" i="19"/>
  <c r="A347" i="19"/>
  <c r="A84" i="19"/>
  <c r="A224" i="19"/>
  <c r="A219" i="19"/>
  <c r="A220" i="19"/>
  <c r="A412" i="19"/>
  <c r="A218" i="19"/>
  <c r="A223" i="19"/>
  <c r="A188" i="19"/>
  <c r="A185" i="19"/>
  <c r="A186" i="19"/>
  <c r="A184" i="19"/>
  <c r="A183" i="19"/>
  <c r="A408" i="19"/>
  <c r="A152" i="19"/>
  <c r="A384" i="19"/>
  <c r="A150" i="19"/>
  <c r="B19" i="9"/>
  <c r="B19" i="12" s="1"/>
  <c r="A148" i="19"/>
  <c r="A404" i="19"/>
  <c r="A62" i="19"/>
  <c r="A59" i="19"/>
  <c r="A344" i="19"/>
  <c r="A26" i="19"/>
  <c r="A370" i="19"/>
  <c r="A23" i="19"/>
  <c r="A22" i="19"/>
  <c r="A340" i="19"/>
  <c r="A116" i="19"/>
  <c r="A380" i="19"/>
  <c r="A114" i="19"/>
  <c r="A112" i="19"/>
  <c r="A365" i="19"/>
  <c r="A80" i="19"/>
  <c r="A376" i="19"/>
  <c r="A78" i="19"/>
  <c r="A215" i="19"/>
  <c r="A401" i="19"/>
  <c r="A211" i="19"/>
  <c r="A209" i="19"/>
  <c r="A179" i="19"/>
  <c r="A397" i="19"/>
  <c r="A175" i="19"/>
  <c r="A174" i="19"/>
  <c r="A173" i="19"/>
  <c r="C18" i="16"/>
  <c r="C18" i="7" s="1"/>
  <c r="C14" i="16"/>
  <c r="C14" i="7" s="1"/>
  <c r="B23" i="9"/>
  <c r="B23" i="12" s="1"/>
  <c r="C15" i="16"/>
  <c r="C15" i="7" s="1"/>
  <c r="A6" i="19"/>
  <c r="A24" i="19"/>
  <c r="A361" i="19"/>
  <c r="A79" i="19"/>
  <c r="A57" i="19"/>
  <c r="A58" i="19"/>
  <c r="A214" i="19"/>
  <c r="A25" i="19"/>
  <c r="A146" i="19"/>
  <c r="A182" i="19"/>
  <c r="A402" i="19"/>
  <c r="A85" i="19"/>
  <c r="A119" i="19"/>
  <c r="A122" i="19"/>
  <c r="A341" i="19"/>
  <c r="A177" i="19"/>
  <c r="A110" i="19"/>
  <c r="B21" i="9"/>
  <c r="B21" i="12" s="1"/>
  <c r="B25" i="9"/>
  <c r="B25" i="12" s="1"/>
  <c r="A167" i="19"/>
  <c r="A164" i="19"/>
  <c r="A165" i="19"/>
  <c r="A410" i="19"/>
  <c r="A205" i="19"/>
  <c r="A70" i="19"/>
  <c r="A66" i="19"/>
  <c r="A101" i="19"/>
  <c r="A105" i="19"/>
  <c r="A343" i="19"/>
  <c r="A49" i="19"/>
  <c r="A48" i="19"/>
  <c r="W63" i="27"/>
  <c r="W67" i="27" s="1"/>
  <c r="W69" i="27" s="1"/>
  <c r="W35" i="27"/>
  <c r="W39" i="27" s="1"/>
  <c r="W7" i="27"/>
  <c r="W11" i="27" s="1"/>
  <c r="W12" i="27" s="1"/>
  <c r="B242" i="19" s="1"/>
  <c r="H67" i="27"/>
  <c r="F77" i="27"/>
  <c r="F81" i="27" s="1"/>
  <c r="F49" i="27"/>
  <c r="F53" i="27" s="1"/>
  <c r="F55" i="27" s="1"/>
  <c r="F21" i="27"/>
  <c r="F25" i="27" s="1"/>
  <c r="F26" i="27" s="1"/>
  <c r="B248" i="19" s="1"/>
  <c r="S63" i="27"/>
  <c r="S67" i="27" s="1"/>
  <c r="S69" i="27" s="1"/>
  <c r="S35" i="27"/>
  <c r="S39" i="27" s="1"/>
  <c r="S41" i="27" s="1"/>
  <c r="S7" i="27"/>
  <c r="S11" i="27" s="1"/>
  <c r="S12" i="27" s="1"/>
  <c r="B238" i="19" s="1"/>
  <c r="I73" i="1"/>
  <c r="F73" i="1"/>
  <c r="H73" i="1"/>
  <c r="M68" i="1"/>
  <c r="B332" i="19" s="1"/>
  <c r="M73" i="1"/>
  <c r="D10" i="9" s="1"/>
  <c r="D10" i="12" s="1"/>
  <c r="AA35" i="27"/>
  <c r="AA39" i="27" s="1"/>
  <c r="L73" i="1"/>
  <c r="L74" i="1"/>
  <c r="C11" i="9" s="1"/>
  <c r="C11" i="12" s="1"/>
  <c r="I63" i="27"/>
  <c r="I67" i="27" s="1"/>
  <c r="I35" i="27"/>
  <c r="I39" i="27" s="1"/>
  <c r="I41" i="27" s="1"/>
  <c r="E63" i="27"/>
  <c r="E67" i="27" s="1"/>
  <c r="E35" i="27"/>
  <c r="E39" i="27" s="1"/>
  <c r="E41" i="27" s="1"/>
  <c r="I74" i="1"/>
  <c r="AA49" i="27"/>
  <c r="AA53" i="27" s="1"/>
  <c r="A13" i="19"/>
  <c r="A14" i="19"/>
  <c r="A12" i="19"/>
  <c r="A354" i="19"/>
  <c r="AA63" i="27"/>
  <c r="AA67" i="27" s="1"/>
  <c r="R63" i="27"/>
  <c r="R67" i="27" s="1"/>
  <c r="R69" i="27" s="1"/>
  <c r="R35" i="27"/>
  <c r="R39" i="27" s="1"/>
  <c r="R7" i="27"/>
  <c r="R11" i="27" s="1"/>
  <c r="S49" i="27"/>
  <c r="S53" i="27" s="1"/>
  <c r="S55" i="27" s="1"/>
  <c r="S21" i="27"/>
  <c r="E77" i="27"/>
  <c r="E81" i="27" s="1"/>
  <c r="E83" i="27" s="1"/>
  <c r="E49" i="27"/>
  <c r="E53" i="27" s="1"/>
  <c r="T7" i="27"/>
  <c r="T11" i="27" s="1"/>
  <c r="T12" i="27" s="1"/>
  <c r="B239" i="19" s="1"/>
  <c r="G77" i="27"/>
  <c r="G81" i="27" s="1"/>
  <c r="G49" i="27"/>
  <c r="G53" i="27" s="1"/>
  <c r="G21" i="27"/>
  <c r="G25" i="27" s="1"/>
  <c r="V7" i="27"/>
  <c r="V11" i="27" s="1"/>
  <c r="W49" i="27"/>
  <c r="W53" i="27" s="1"/>
  <c r="W55" i="27" s="1"/>
  <c r="W21" i="27"/>
  <c r="W25" i="27" s="1"/>
  <c r="I49" i="27"/>
  <c r="I53" i="27" s="1"/>
  <c r="I55" i="27" s="1"/>
  <c r="I21" i="27"/>
  <c r="I25" i="27" s="1"/>
  <c r="I26" i="27" s="1"/>
  <c r="A369" i="19"/>
  <c r="A16" i="19"/>
  <c r="A339" i="19"/>
  <c r="B336" i="19"/>
  <c r="E6" i="7"/>
  <c r="E21" i="16"/>
  <c r="E21" i="7" s="1"/>
  <c r="D73" i="1"/>
  <c r="G73" i="1"/>
  <c r="A395" i="19"/>
  <c r="R83" i="1"/>
  <c r="F74" i="1"/>
  <c r="M74" i="1"/>
  <c r="A44" i="19"/>
  <c r="A39" i="19"/>
  <c r="A41" i="19"/>
  <c r="C10" i="16"/>
  <c r="C10" i="7" s="1"/>
  <c r="A342" i="19"/>
  <c r="A42" i="19"/>
  <c r="A43" i="19"/>
  <c r="A357" i="19"/>
  <c r="A372" i="19"/>
  <c r="A134" i="19"/>
  <c r="A133" i="19"/>
  <c r="A367" i="19"/>
  <c r="A131" i="19"/>
  <c r="A132" i="19"/>
  <c r="A130" i="19"/>
  <c r="C20" i="16"/>
  <c r="C20" i="7" s="1"/>
  <c r="A352" i="19"/>
  <c r="A98" i="19"/>
  <c r="A93" i="19"/>
  <c r="A363" i="19"/>
  <c r="A95" i="19"/>
  <c r="A378" i="19"/>
  <c r="A97" i="19"/>
  <c r="A94" i="19"/>
  <c r="A96" i="19"/>
  <c r="A143" i="19"/>
  <c r="A141" i="19"/>
  <c r="A383" i="19"/>
  <c r="A393" i="19"/>
  <c r="A142" i="19"/>
  <c r="A139" i="19"/>
  <c r="A140" i="19"/>
  <c r="A403" i="19"/>
  <c r="A197" i="19"/>
  <c r="A399" i="19"/>
  <c r="A193" i="19"/>
  <c r="A191" i="19"/>
  <c r="A195" i="19"/>
  <c r="A194" i="19"/>
  <c r="A161" i="19"/>
  <c r="A405" i="19"/>
  <c r="A160" i="19"/>
  <c r="A157" i="19"/>
  <c r="A156" i="19"/>
  <c r="B20" i="9"/>
  <c r="B20" i="12" s="1"/>
  <c r="F7" i="27"/>
  <c r="F11" i="27" s="1"/>
  <c r="C77" i="27"/>
  <c r="C81" i="27" s="1"/>
  <c r="C49" i="27"/>
  <c r="C53" i="27" s="1"/>
  <c r="E73" i="1"/>
  <c r="L72" i="1"/>
  <c r="M7" i="27"/>
  <c r="M11" i="27" s="1"/>
  <c r="L68" i="1"/>
  <c r="C5" i="9" s="1"/>
  <c r="C5" i="12" s="1"/>
  <c r="C35" i="27"/>
  <c r="C39" i="27" s="1"/>
  <c r="C41" i="27" s="1"/>
  <c r="F39" i="27"/>
  <c r="F41" i="27" s="1"/>
  <c r="M49" i="27"/>
  <c r="M53" i="27" s="1"/>
  <c r="M63" i="27"/>
  <c r="M67" i="27" s="1"/>
  <c r="Q21" i="27"/>
  <c r="Q25" i="27" s="1"/>
  <c r="L77" i="27"/>
  <c r="L81" i="27" s="1"/>
  <c r="M77" i="27"/>
  <c r="M81" i="27" s="1"/>
  <c r="Q7" i="27"/>
  <c r="Q11" i="27" s="1"/>
  <c r="C63" i="27"/>
  <c r="C67" i="27" s="1"/>
  <c r="C69" i="27" s="1"/>
  <c r="L63" i="27"/>
  <c r="L67" i="27" s="1"/>
  <c r="Z7" i="27"/>
  <c r="Z11" i="27" s="1"/>
  <c r="C21" i="27"/>
  <c r="C25" i="27" s="1"/>
  <c r="C26" i="27" s="1"/>
  <c r="M70" i="1"/>
  <c r="Z21" i="27"/>
  <c r="Z25" i="27" s="1"/>
  <c r="T63" i="27"/>
  <c r="T67" i="27" s="1"/>
  <c r="T35" i="27"/>
  <c r="T39" i="27" s="1"/>
  <c r="D35" i="27"/>
  <c r="D39" i="27" s="1"/>
  <c r="D41" i="27" s="1"/>
  <c r="Q35" i="27"/>
  <c r="L69" i="1"/>
  <c r="E21" i="27"/>
  <c r="E25" i="27" s="1"/>
  <c r="E26" i="27" s="1"/>
  <c r="B247" i="19" s="1"/>
  <c r="L35" i="27"/>
  <c r="L39" i="27" s="1"/>
  <c r="L49" i="27"/>
  <c r="L53" i="27" s="1"/>
  <c r="U49" i="27"/>
  <c r="U53" i="27" s="1"/>
  <c r="U55" i="27" s="1"/>
  <c r="C70" i="1"/>
  <c r="L70" i="1"/>
  <c r="C7" i="9" s="1"/>
  <c r="C7" i="12" s="1"/>
  <c r="L21" i="27"/>
  <c r="L25" i="27" s="1"/>
  <c r="M69" i="1"/>
  <c r="B334" i="19" s="1"/>
  <c r="AA21" i="27"/>
  <c r="AA25" i="27" s="1"/>
  <c r="Q49" i="27"/>
  <c r="Q53" i="27" s="1"/>
  <c r="Z49" i="27"/>
  <c r="Z53" i="27" s="1"/>
  <c r="V63" i="27"/>
  <c r="V67" i="27" s="1"/>
  <c r="V69" i="27" s="1"/>
  <c r="V35" i="27"/>
  <c r="V39" i="27" s="1"/>
  <c r="W26" i="1"/>
  <c r="F6" i="16" s="1"/>
  <c r="F70" i="1"/>
  <c r="H70" i="1"/>
  <c r="I7" i="27"/>
  <c r="I11" i="27" s="1"/>
  <c r="E7" i="27"/>
  <c r="E11" i="27" s="1"/>
  <c r="E68" i="1"/>
  <c r="G72" i="1"/>
  <c r="B300" i="19"/>
  <c r="B295" i="19"/>
  <c r="C72" i="1"/>
  <c r="M21" i="27"/>
  <c r="M25" i="27" s="1"/>
  <c r="M72" i="1"/>
  <c r="M35" i="27"/>
  <c r="M39" i="27" s="1"/>
  <c r="F63" i="27"/>
  <c r="F67" i="27" s="1"/>
  <c r="F68" i="1"/>
  <c r="H72" i="1"/>
  <c r="D72" i="1"/>
  <c r="E69" i="1"/>
  <c r="G69" i="1"/>
  <c r="I69" i="1"/>
  <c r="D70" i="1"/>
  <c r="L7" i="27"/>
  <c r="L11" i="27" s="1"/>
  <c r="AA7" i="27"/>
  <c r="AA11" i="27" s="1"/>
  <c r="G7" i="27"/>
  <c r="G11" i="27" s="1"/>
  <c r="G68" i="1"/>
  <c r="I72" i="1"/>
  <c r="E72" i="1"/>
  <c r="E70" i="1"/>
  <c r="G70" i="1"/>
  <c r="I70" i="1"/>
  <c r="H68" i="1"/>
  <c r="D63" i="27"/>
  <c r="D67" i="27" s="1"/>
  <c r="D69" i="27" s="1"/>
  <c r="D7" i="27"/>
  <c r="D11" i="27" s="1"/>
  <c r="D68" i="1"/>
  <c r="F72" i="1"/>
  <c r="D69" i="1"/>
  <c r="F69" i="1"/>
  <c r="H69" i="1"/>
  <c r="I6" i="7"/>
  <c r="B4" i="9"/>
  <c r="C7" i="27"/>
  <c r="A353" i="19"/>
  <c r="A368" i="19"/>
  <c r="P68" i="27" l="1"/>
  <c r="V85" i="1" s="1"/>
  <c r="E69" i="27"/>
  <c r="E55" i="27"/>
  <c r="F69" i="27"/>
  <c r="G55" i="27"/>
  <c r="I69" i="27"/>
  <c r="I83" i="27"/>
  <c r="B68" i="27"/>
  <c r="T85" i="1" s="1"/>
  <c r="B299" i="19"/>
  <c r="B324" i="19"/>
  <c r="J83" i="27"/>
  <c r="B298" i="19"/>
  <c r="Y55" i="27"/>
  <c r="B245" i="19"/>
  <c r="B253" i="19"/>
  <c r="K27" i="27"/>
  <c r="P40" i="27"/>
  <c r="N85" i="1" s="1"/>
  <c r="B306" i="19"/>
  <c r="J69" i="27"/>
  <c r="B325" i="19"/>
  <c r="K83" i="27"/>
  <c r="B261" i="19"/>
  <c r="X27" i="27"/>
  <c r="B280" i="19"/>
  <c r="Y41" i="27"/>
  <c r="B289" i="19"/>
  <c r="K55" i="27"/>
  <c r="B271" i="19"/>
  <c r="K41" i="27"/>
  <c r="B317" i="19"/>
  <c r="B82" i="27"/>
  <c r="B252" i="19"/>
  <c r="J27" i="27"/>
  <c r="B263" i="19"/>
  <c r="B40" i="27"/>
  <c r="L85" i="1" s="1"/>
  <c r="P54" i="27"/>
  <c r="R85" i="1" s="1"/>
  <c r="B307" i="19"/>
  <c r="K69" i="27"/>
  <c r="B243" i="19"/>
  <c r="X13" i="27"/>
  <c r="B262" i="19"/>
  <c r="Y27" i="27"/>
  <c r="B315" i="19"/>
  <c r="X69" i="27"/>
  <c r="B281" i="19"/>
  <c r="B54" i="27"/>
  <c r="P85" i="1" s="1"/>
  <c r="B270" i="19"/>
  <c r="J41" i="27"/>
  <c r="B235" i="19"/>
  <c r="K76" i="1"/>
  <c r="K77" i="1" s="1"/>
  <c r="B279" i="19"/>
  <c r="X41" i="27"/>
  <c r="B288" i="19"/>
  <c r="J55" i="27"/>
  <c r="F83" i="27"/>
  <c r="H69" i="27"/>
  <c r="B69" i="27" s="1"/>
  <c r="B254" i="19"/>
  <c r="P26" i="27"/>
  <c r="D55" i="27"/>
  <c r="B234" i="19"/>
  <c r="J76" i="1"/>
  <c r="J77" i="1" s="1"/>
  <c r="G11" i="28" s="1"/>
  <c r="J13" i="27"/>
  <c r="B244" i="19"/>
  <c r="Y13" i="27"/>
  <c r="B297" i="19"/>
  <c r="X55" i="27"/>
  <c r="B316" i="19"/>
  <c r="Y69" i="27"/>
  <c r="K13" i="27"/>
  <c r="B5" i="9"/>
  <c r="T41" i="27"/>
  <c r="B329" i="19"/>
  <c r="U41" i="27"/>
  <c r="C83" i="27"/>
  <c r="D5" i="9"/>
  <c r="D5" i="12" s="1"/>
  <c r="R41" i="27"/>
  <c r="B326" i="19"/>
  <c r="R27" i="27"/>
  <c r="V41" i="27"/>
  <c r="W41" i="27"/>
  <c r="W27" i="27"/>
  <c r="V27" i="27"/>
  <c r="W13" i="27"/>
  <c r="B331" i="19"/>
  <c r="U27" i="27"/>
  <c r="J85" i="1"/>
  <c r="T27" i="27"/>
  <c r="H13" i="27"/>
  <c r="G83" i="27"/>
  <c r="X85" i="1"/>
  <c r="F27" i="27"/>
  <c r="P83" i="1"/>
  <c r="X83" i="1"/>
  <c r="H83" i="1"/>
  <c r="N83" i="1"/>
  <c r="V83" i="1"/>
  <c r="D83" i="1"/>
  <c r="C28" i="9"/>
  <c r="C28" i="12" s="1"/>
  <c r="S13" i="27"/>
  <c r="F82" i="1"/>
  <c r="L82" i="1"/>
  <c r="P82" i="1"/>
  <c r="D6" i="9"/>
  <c r="D6" i="12" s="1"/>
  <c r="T83" i="1"/>
  <c r="J82" i="1"/>
  <c r="F6" i="7"/>
  <c r="B246" i="19"/>
  <c r="D27" i="27"/>
  <c r="B251" i="19"/>
  <c r="I27" i="27"/>
  <c r="Q12" i="27"/>
  <c r="D12" i="27"/>
  <c r="T13" i="27"/>
  <c r="E12" i="27"/>
  <c r="G12" i="27"/>
  <c r="H26" i="27"/>
  <c r="B250" i="19" s="1"/>
  <c r="U12" i="27"/>
  <c r="B240" i="19" s="1"/>
  <c r="F12" i="27"/>
  <c r="I12" i="27"/>
  <c r="V12" i="27"/>
  <c r="R12" i="27"/>
  <c r="B237" i="19" s="1"/>
  <c r="G26" i="27"/>
  <c r="B249" i="19" s="1"/>
  <c r="F83" i="1"/>
  <c r="E27" i="27"/>
  <c r="M71" i="1"/>
  <c r="D8" i="9" s="1"/>
  <c r="D8" i="12" s="1"/>
  <c r="S25" i="27"/>
  <c r="S27" i="27" s="1"/>
  <c r="B11" i="9"/>
  <c r="B11" i="12" s="1"/>
  <c r="J83" i="1"/>
  <c r="X82" i="1"/>
  <c r="B10" i="9"/>
  <c r="B10" i="12" s="1"/>
  <c r="B330" i="19"/>
  <c r="C10" i="9"/>
  <c r="C10" i="12" s="1"/>
  <c r="L83" i="1"/>
  <c r="R82" i="1"/>
  <c r="R84" i="1" s="1"/>
  <c r="B327" i="19"/>
  <c r="C9" i="9"/>
  <c r="C9" i="12" s="1"/>
  <c r="B337" i="19"/>
  <c r="D11" i="9"/>
  <c r="D11" i="12" s="1"/>
  <c r="Q39" i="27"/>
  <c r="N82" i="1"/>
  <c r="H82" i="1"/>
  <c r="B7" i="9"/>
  <c r="B7" i="12" s="1"/>
  <c r="C6" i="9"/>
  <c r="C6" i="12" s="1"/>
  <c r="B328" i="19"/>
  <c r="V82" i="1"/>
  <c r="L71" i="1"/>
  <c r="D7" i="9"/>
  <c r="D7" i="12" s="1"/>
  <c r="B335" i="19"/>
  <c r="B6" i="9"/>
  <c r="D71" i="1"/>
  <c r="D75" i="1" s="1"/>
  <c r="I71" i="1"/>
  <c r="F71" i="1"/>
  <c r="F75" i="1" s="1"/>
  <c r="B9" i="9"/>
  <c r="T82" i="1"/>
  <c r="C71" i="1"/>
  <c r="C75" i="1" s="1"/>
  <c r="H75" i="1"/>
  <c r="C55" i="27"/>
  <c r="G71" i="1"/>
  <c r="G75" i="1" s="1"/>
  <c r="B333" i="19"/>
  <c r="D9" i="9"/>
  <c r="D9" i="12" s="1"/>
  <c r="C27" i="27"/>
  <c r="E71" i="1"/>
  <c r="E75" i="1" s="1"/>
  <c r="T69" i="27"/>
  <c r="Q27" i="27"/>
  <c r="Q55" i="27"/>
  <c r="P55" i="27" s="1"/>
  <c r="C11" i="27"/>
  <c r="C12" i="27" s="1"/>
  <c r="D82" i="1"/>
  <c r="B4" i="12"/>
  <c r="E4" i="9"/>
  <c r="E4" i="12" s="1"/>
  <c r="P69" i="27" l="1"/>
  <c r="P12" i="27"/>
  <c r="B41" i="27"/>
  <c r="B12" i="27"/>
  <c r="D85" i="1" s="1"/>
  <c r="R86" i="1"/>
  <c r="B55" i="27"/>
  <c r="B83" i="27"/>
  <c r="P27" i="27"/>
  <c r="B26" i="27"/>
  <c r="L84" i="1"/>
  <c r="L86" i="1" s="1"/>
  <c r="I75" i="1"/>
  <c r="V84" i="1"/>
  <c r="V86" i="1" s="1"/>
  <c r="M75" i="1"/>
  <c r="F84" i="1"/>
  <c r="H84" i="1"/>
  <c r="P84" i="1"/>
  <c r="P86" i="1" s="1"/>
  <c r="X84" i="1"/>
  <c r="X86" i="1" s="1"/>
  <c r="N84" i="1"/>
  <c r="N86" i="1" s="1"/>
  <c r="T84" i="1"/>
  <c r="T86" i="1" s="1"/>
  <c r="E7" i="9"/>
  <c r="E7" i="12" s="1"/>
  <c r="B83" i="1"/>
  <c r="J84" i="1"/>
  <c r="J86" i="1" s="1"/>
  <c r="E10" i="9"/>
  <c r="E10" i="12" s="1"/>
  <c r="B227" i="19"/>
  <c r="C76" i="1"/>
  <c r="B241" i="19"/>
  <c r="H76" i="1"/>
  <c r="H77" i="1" s="1"/>
  <c r="G9" i="28" s="1"/>
  <c r="B230" i="19"/>
  <c r="F76" i="1"/>
  <c r="F77" i="1" s="1"/>
  <c r="G7" i="28" s="1"/>
  <c r="H85" i="1"/>
  <c r="B228" i="19"/>
  <c r="D76" i="1"/>
  <c r="D77" i="1" s="1"/>
  <c r="G27" i="27"/>
  <c r="V13" i="27"/>
  <c r="F13" i="27"/>
  <c r="H27" i="27"/>
  <c r="B229" i="19"/>
  <c r="E76" i="1"/>
  <c r="E77" i="1" s="1"/>
  <c r="G12" i="28" s="1"/>
  <c r="D13" i="27"/>
  <c r="B233" i="19"/>
  <c r="I76" i="1"/>
  <c r="B231" i="19"/>
  <c r="G76" i="1"/>
  <c r="G77" i="1" s="1"/>
  <c r="G8" i="28" s="1"/>
  <c r="E13" i="27"/>
  <c r="B236" i="19"/>
  <c r="F85" i="1"/>
  <c r="R13" i="27"/>
  <c r="I13" i="27"/>
  <c r="U13" i="27"/>
  <c r="G13" i="27"/>
  <c r="Q13" i="27"/>
  <c r="P13" i="27" s="1"/>
  <c r="E11" i="9"/>
  <c r="E11" i="12" s="1"/>
  <c r="L75" i="1"/>
  <c r="C8" i="9"/>
  <c r="C8" i="12" s="1"/>
  <c r="Q41" i="27"/>
  <c r="P41" i="27" s="1"/>
  <c r="B8" i="9"/>
  <c r="B8" i="12" s="1"/>
  <c r="D12" i="9"/>
  <c r="D12" i="12" s="1"/>
  <c r="D14" i="9"/>
  <c r="D14" i="12" s="1"/>
  <c r="B9" i="12"/>
  <c r="E9" i="9"/>
  <c r="E9" i="12" s="1"/>
  <c r="E5" i="9"/>
  <c r="E5" i="12" s="1"/>
  <c r="B5" i="12"/>
  <c r="B6" i="12"/>
  <c r="E6" i="9"/>
  <c r="E6" i="12" s="1"/>
  <c r="D84" i="1"/>
  <c r="B82" i="1"/>
  <c r="C13" i="27"/>
  <c r="B13" i="27" l="1"/>
  <c r="B27" i="27"/>
  <c r="C77" i="1"/>
  <c r="B76" i="1"/>
  <c r="I77" i="1"/>
  <c r="G10" i="28" s="1"/>
  <c r="B12" i="9"/>
  <c r="B12" i="12" s="1"/>
  <c r="H86" i="1"/>
  <c r="F86" i="1"/>
  <c r="G6" i="28"/>
  <c r="G5" i="28"/>
  <c r="B85" i="1"/>
  <c r="C14" i="9"/>
  <c r="C14" i="12" s="1"/>
  <c r="C12" i="9"/>
  <c r="C12" i="12" s="1"/>
  <c r="E8" i="9"/>
  <c r="E8" i="12" s="1"/>
  <c r="B84" i="1"/>
  <c r="D86" i="1"/>
  <c r="G4" i="28" l="1"/>
  <c r="B13" i="28" s="1"/>
  <c r="B12" i="28" s="1"/>
  <c r="B11" i="28" s="1"/>
  <c r="B10" i="28" s="1"/>
  <c r="B9" i="28" s="1"/>
  <c r="B8" i="28" s="1"/>
  <c r="B7" i="28" s="1"/>
  <c r="B6" i="28" s="1"/>
  <c r="B5" i="28" s="1"/>
  <c r="B4" i="28" s="1"/>
  <c r="B77" i="1"/>
  <c r="B86" i="1"/>
  <c r="A3" i="28"/>
  <c r="A4" i="28"/>
  <c r="A8" i="28"/>
  <c r="A9" i="28"/>
  <c r="E13" i="9"/>
  <c r="E13" i="12" s="1"/>
  <c r="B13" i="9"/>
  <c r="B13" i="12" s="1"/>
  <c r="E12" i="9"/>
  <c r="E12" i="12" s="1"/>
  <c r="A10" i="28" l="1"/>
  <c r="A11" i="28"/>
  <c r="B14" i="9"/>
  <c r="A13" i="28"/>
  <c r="A2" i="28"/>
  <c r="A5" i="28"/>
  <c r="A6" i="28"/>
  <c r="A12" i="28"/>
  <c r="A7" i="28"/>
  <c r="B3" i="28"/>
  <c r="B2" i="28" s="1"/>
  <c r="B14" i="12"/>
  <c r="E14" i="9"/>
  <c r="E14" i="12" s="1"/>
  <c r="I11" i="16"/>
  <c r="I21" i="16" s="1"/>
  <c r="I21" i="7" s="1"/>
  <c r="B343" i="19"/>
  <c r="W31" i="1"/>
  <c r="F11" i="16" s="1"/>
  <c r="F21" i="16" l="1"/>
  <c r="F21" i="7" s="1"/>
  <c r="F11" i="7"/>
  <c r="I11" i="7"/>
</calcChain>
</file>

<file path=xl/sharedStrings.xml><?xml version="1.0" encoding="utf-8"?>
<sst xmlns="http://schemas.openxmlformats.org/spreadsheetml/2006/main" count="1858" uniqueCount="865">
  <si>
    <t>Address line 2</t>
  </si>
  <si>
    <t>Administrator</t>
  </si>
  <si>
    <t>First name</t>
  </si>
  <si>
    <t>Surname</t>
  </si>
  <si>
    <t>Total amount DKK</t>
  </si>
  <si>
    <t>Description (tasks and salary expenses, max. 300 characters)</t>
  </si>
  <si>
    <t/>
  </si>
  <si>
    <t>Institution</t>
  </si>
  <si>
    <t>Aalborg University</t>
  </si>
  <si>
    <t>Roskilde University</t>
  </si>
  <si>
    <t>Institution 2</t>
  </si>
  <si>
    <t>Institution 3</t>
  </si>
  <si>
    <t>Hvidovre Hospital</t>
  </si>
  <si>
    <t>Overhead</t>
  </si>
  <si>
    <t>Amount DKK</t>
  </si>
  <si>
    <t>Co-financing</t>
  </si>
  <si>
    <t>Other sources</t>
  </si>
  <si>
    <t>Land</t>
  </si>
  <si>
    <t>Kode</t>
  </si>
  <si>
    <t>Organisationstype</t>
  </si>
  <si>
    <t>CVR</t>
  </si>
  <si>
    <t>P</t>
  </si>
  <si>
    <t>Adresse</t>
  </si>
  <si>
    <t>Postnr</t>
  </si>
  <si>
    <t>By</t>
  </si>
  <si>
    <t>Email</t>
  </si>
  <si>
    <t>Type</t>
  </si>
  <si>
    <t>Afghanistan</t>
  </si>
  <si>
    <t>AF</t>
  </si>
  <si>
    <t>Equipment expenses</t>
  </si>
  <si>
    <t>Danish: Archive, library or museum</t>
  </si>
  <si>
    <t>DK-ARKIV</t>
  </si>
  <si>
    <t>Fredrik Bajers Vej 5</t>
  </si>
  <si>
    <t>Aalborg Øst</t>
  </si>
  <si>
    <t>Denmark</t>
  </si>
  <si>
    <t>okonomi@adm.aau.dk</t>
  </si>
  <si>
    <t>Danish: University</t>
  </si>
  <si>
    <t>Albania</t>
  </si>
  <si>
    <t>AL</t>
  </si>
  <si>
    <t>Operating expenses</t>
  </si>
  <si>
    <t>DRIFT</t>
  </si>
  <si>
    <t>Danish: GTS-institute</t>
  </si>
  <si>
    <t>DK-GTS</t>
  </si>
  <si>
    <t>Aarhus University</t>
  </si>
  <si>
    <t>Nordre Ringgade 1</t>
  </si>
  <si>
    <t>Aarhus C</t>
  </si>
  <si>
    <t>fi.bevillinger@au.dk</t>
  </si>
  <si>
    <t>Algeria</t>
  </si>
  <si>
    <t>DZ</t>
  </si>
  <si>
    <t>LØN-TAP</t>
  </si>
  <si>
    <t>Danish: Innovation network</t>
  </si>
  <si>
    <t>DK-INNONETVÆRK</t>
  </si>
  <si>
    <t>Copenhagen Business School</t>
  </si>
  <si>
    <t>Solbjerg Plads 3</t>
  </si>
  <si>
    <t>Frederiksberg</t>
  </si>
  <si>
    <t>projekt@cbs.dk</t>
  </si>
  <si>
    <t>American Samoa</t>
  </si>
  <si>
    <t>AS</t>
  </si>
  <si>
    <t>LØN-VIP</t>
  </si>
  <si>
    <t>Danish: Institution in architecture and art</t>
  </si>
  <si>
    <t>DK-KUNSTUDDINST</t>
  </si>
  <si>
    <t>IT University of Copenhagen</t>
  </si>
  <si>
    <t>Rued Langgards Vej 7</t>
  </si>
  <si>
    <t>København S</t>
  </si>
  <si>
    <t>finance@itu.dk</t>
  </si>
  <si>
    <t>Andorra</t>
  </si>
  <si>
    <t>AD</t>
  </si>
  <si>
    <t>Danish: Public hospital (incl. university hospital)</t>
  </si>
  <si>
    <t>DK-OFFHOSP</t>
  </si>
  <si>
    <t>Universitetsvej 1</t>
  </si>
  <si>
    <t>Roskilde</t>
  </si>
  <si>
    <t>projektteam@ruc.dk</t>
  </si>
  <si>
    <t>Angola</t>
  </si>
  <si>
    <t>AO</t>
  </si>
  <si>
    <t>Danish: Private non-profit organisation or foundation</t>
  </si>
  <si>
    <t>DK-PRIVNONPROF</t>
  </si>
  <si>
    <t>Technical University of Denmark</t>
  </si>
  <si>
    <t>Anker Engelunds Vej 101A</t>
  </si>
  <si>
    <t>Kgs. Lyngby</t>
  </si>
  <si>
    <t>projektrevision@adm.dtu.dk</t>
  </si>
  <si>
    <t>Anguilla</t>
  </si>
  <si>
    <t>AI</t>
  </si>
  <si>
    <t>Danish: Private enterprise (incl. private hospital)</t>
  </si>
  <si>
    <t>DK-VIRK</t>
  </si>
  <si>
    <t>University of Copenhagen</t>
  </si>
  <si>
    <t>Nørregade 10</t>
  </si>
  <si>
    <t>København K</t>
  </si>
  <si>
    <t>oko-ekstern-virksomhed@adm.ku.dk</t>
  </si>
  <si>
    <t>Antarctica</t>
  </si>
  <si>
    <t>AQ</t>
  </si>
  <si>
    <t>Danish: University college, Academy of professional higher education or Maritime educational institution</t>
  </si>
  <si>
    <t>DK-PROFHØJSK</t>
  </si>
  <si>
    <t>University of Southern Denmark</t>
  </si>
  <si>
    <t>Campusvej 55</t>
  </si>
  <si>
    <t>Odense M</t>
  </si>
  <si>
    <t>asha@sdu.dk</t>
  </si>
  <si>
    <t>Antigua and Barbuda</t>
  </si>
  <si>
    <t>AG</t>
  </si>
  <si>
    <t>DK-UNI</t>
  </si>
  <si>
    <t>Aalborg Universitetshospital</t>
  </si>
  <si>
    <t>Hobrovej 18</t>
  </si>
  <si>
    <t>Aalborg</t>
  </si>
  <si>
    <t>aalborguh@rn.dk</t>
  </si>
  <si>
    <t>Argentina</t>
  </si>
  <si>
    <t>AR</t>
  </si>
  <si>
    <t>Danish: Other public institution</t>
  </si>
  <si>
    <t>DK-ØVRIGOFFINST</t>
  </si>
  <si>
    <t>Aarhus University Hospital</t>
  </si>
  <si>
    <t>Nørrebrogade 44</t>
  </si>
  <si>
    <t>oekonomi@auh.rm.dk</t>
  </si>
  <si>
    <t>Armenia</t>
  </si>
  <si>
    <t>AM</t>
  </si>
  <si>
    <t>Danish: Other governmental research organisation (incl. sector research institute)</t>
  </si>
  <si>
    <t>DK-ØVRIGSTATSFORSK</t>
  </si>
  <si>
    <t>Bispebjerg Hospital</t>
  </si>
  <si>
    <t>Bispebjerg Bakke 23</t>
  </si>
  <si>
    <t>København NV</t>
  </si>
  <si>
    <t>direktion.BBH-FRH@regionh.dk</t>
  </si>
  <si>
    <t>Aruba</t>
  </si>
  <si>
    <t>AW</t>
  </si>
  <si>
    <t>Non-Danish: Private enterprise</t>
  </si>
  <si>
    <t>UDL-VIRK</t>
  </si>
  <si>
    <t>Gentofte Hospital</t>
  </si>
  <si>
    <t>Kildegårdsvej 28</t>
  </si>
  <si>
    <t>Hellerup</t>
  </si>
  <si>
    <t>genweb@geh.regionh.dk</t>
  </si>
  <si>
    <t>Australia</t>
  </si>
  <si>
    <t>AU</t>
  </si>
  <si>
    <t>Non-Danish: University</t>
  </si>
  <si>
    <t>UDL-UNI</t>
  </si>
  <si>
    <t>Glostrup Hospital</t>
  </si>
  <si>
    <t>Nordre Ringvej 57</t>
  </si>
  <si>
    <t>Glostrup</t>
  </si>
  <si>
    <t>direktionen@glo.regionh.dk</t>
  </si>
  <si>
    <t>Austria</t>
  </si>
  <si>
    <t>AT</t>
  </si>
  <si>
    <t>Non-Danish: Other public institution</t>
  </si>
  <si>
    <t>UDL-ØVRIGOFFINST</t>
  </si>
  <si>
    <t>Herlev Hospital</t>
  </si>
  <si>
    <t>Herlev Ringvej 75</t>
  </si>
  <si>
    <t>Herlev</t>
  </si>
  <si>
    <t>herlevhospital@regionh.dk</t>
  </si>
  <si>
    <t>Azerbaijan</t>
  </si>
  <si>
    <t>AZ</t>
  </si>
  <si>
    <t>Non-Danish: Other organisation or applicant</t>
  </si>
  <si>
    <t>UDL-ØVRIGORG</t>
  </si>
  <si>
    <t>Kettegård Alle 30</t>
  </si>
  <si>
    <t>Hvidovre</t>
  </si>
  <si>
    <t>direktionen.hvidovrehospital@regionh.dk</t>
  </si>
  <si>
    <t>Bahamas</t>
  </si>
  <si>
    <t>BS</t>
  </si>
  <si>
    <t>Odense University Hospital</t>
  </si>
  <si>
    <t>Sdr. Boulevard 29</t>
  </si>
  <si>
    <t>Odense C</t>
  </si>
  <si>
    <t>direktionen@ouh.regionsyddanmark.dk</t>
  </si>
  <si>
    <t>Bahrain</t>
  </si>
  <si>
    <t>BH</t>
  </si>
  <si>
    <t>Copenhagen University Hospital (Rigshospitalet)</t>
  </si>
  <si>
    <t>Blegdamsvej 9</t>
  </si>
  <si>
    <t>København Ø</t>
  </si>
  <si>
    <t>oek-plan.rigshospitalet@regionh.dk</t>
  </si>
  <si>
    <t>Bangladesh</t>
  </si>
  <si>
    <t>BD</t>
  </si>
  <si>
    <t>GEUS (Geological Survey of Denmark and Greenland)</t>
  </si>
  <si>
    <t>Øster Voldgade 10</t>
  </si>
  <si>
    <t>geus@geus.dk</t>
  </si>
  <si>
    <t>Barbados</t>
  </si>
  <si>
    <t>BB</t>
  </si>
  <si>
    <t>Kennedy Centret</t>
  </si>
  <si>
    <t>Gamle Landevej 7</t>
  </si>
  <si>
    <t>RH-Kennedy@regionh.dk</t>
  </si>
  <si>
    <t>Belarus</t>
  </si>
  <si>
    <t>BY</t>
  </si>
  <si>
    <t>Herluf Trolles Gade 11</t>
  </si>
  <si>
    <t>Belize</t>
  </si>
  <si>
    <t>BZ</t>
  </si>
  <si>
    <t>National Research Centre for the Working Environment (NFA)</t>
  </si>
  <si>
    <t>Lersø Parkalle 105</t>
  </si>
  <si>
    <t>nfa@arbejdsmiljoforskning.dk</t>
  </si>
  <si>
    <t>Benin</t>
  </si>
  <si>
    <t>BJ</t>
  </si>
  <si>
    <t>Statens Serum Institut</t>
  </si>
  <si>
    <t>Artillerivej 5</t>
  </si>
  <si>
    <t>serum@ssi.dk</t>
  </si>
  <si>
    <t>Bermuda</t>
  </si>
  <si>
    <t>BM</t>
  </si>
  <si>
    <t>Bhutan</t>
  </si>
  <si>
    <t>BT</t>
  </si>
  <si>
    <t>Bolivia</t>
  </si>
  <si>
    <t>BO</t>
  </si>
  <si>
    <t>Bosnia and Herzegovina</t>
  </si>
  <si>
    <t>BA</t>
  </si>
  <si>
    <t>Botswana</t>
  </si>
  <si>
    <t>BW</t>
  </si>
  <si>
    <t>Bouvet island</t>
  </si>
  <si>
    <t>BV</t>
  </si>
  <si>
    <t>OVERHEAD</t>
  </si>
  <si>
    <t>Brazil</t>
  </si>
  <si>
    <t>BR</t>
  </si>
  <si>
    <t>British Indian Ocean Territory</t>
  </si>
  <si>
    <t>IO</t>
  </si>
  <si>
    <t>Brunei Darussalam</t>
  </si>
  <si>
    <t>BN</t>
  </si>
  <si>
    <t>Bulgaria</t>
  </si>
  <si>
    <t>BG</t>
  </si>
  <si>
    <t>Burkina Faso</t>
  </si>
  <si>
    <t>BF</t>
  </si>
  <si>
    <t>BU</t>
  </si>
  <si>
    <t>Burundi</t>
  </si>
  <si>
    <t>BI</t>
  </si>
  <si>
    <t>Cambodia</t>
  </si>
  <si>
    <t>KH</t>
  </si>
  <si>
    <t>Cameroon</t>
  </si>
  <si>
    <t>CM</t>
  </si>
  <si>
    <t>Instrument</t>
  </si>
  <si>
    <t>Canada</t>
  </si>
  <si>
    <t>CA</t>
  </si>
  <si>
    <t>Canton og enderbury-øen</t>
  </si>
  <si>
    <t>CT</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</si>
  <si>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</si>
  <si>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</si>
  <si>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</si>
  <si>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</si>
  <si>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</si>
  <si>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</si>
  <si>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</si>
  <si>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</si>
  <si>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</si>
  <si>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</si>
  <si>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</si>
  <si>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</si>
  <si>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</si>
  <si>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</si>
  <si>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</si>
  <si>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</si>
  <si>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</si>
  <si>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</si>
  <si>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</si>
  <si>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</si>
  <si>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</si>
  <si>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the Democratic Republic of</t>
  </si>
  <si>
    <t>CD</t>
  </si>
  <si>
    <t>Cook Islands</t>
  </si>
  <si>
    <t>CK</t>
  </si>
  <si>
    <t>Costa Rica</t>
  </si>
  <si>
    <t>CR</t>
  </si>
  <si>
    <t>Côte d'ivoire</t>
  </si>
  <si>
    <t>CI</t>
  </si>
  <si>
    <t>Croatia</t>
  </si>
  <si>
    <t>HR</t>
  </si>
  <si>
    <t>Cuba</t>
  </si>
  <si>
    <t>CU</t>
  </si>
  <si>
    <t>Cyprus</t>
  </si>
  <si>
    <t>CY</t>
  </si>
  <si>
    <t>Czech Republic</t>
  </si>
  <si>
    <t>CZ</t>
  </si>
  <si>
    <t>Demokratisk Yemen [Yemen]</t>
  </si>
  <si>
    <t>YD</t>
  </si>
  <si>
    <t>DK</t>
  </si>
  <si>
    <t>Djibouti</t>
  </si>
  <si>
    <t>DJ</t>
  </si>
  <si>
    <t>Dominica</t>
  </si>
  <si>
    <t>DM</t>
  </si>
  <si>
    <t>Dominican Republic</t>
  </si>
  <si>
    <t>DO</t>
  </si>
  <si>
    <t>Dronning Maud Land</t>
  </si>
  <si>
    <t>NQ</t>
  </si>
  <si>
    <t>Ecuador</t>
  </si>
  <si>
    <t>EC</t>
  </si>
  <si>
    <t>Egypt</t>
  </si>
  <si>
    <t>EG</t>
  </si>
  <si>
    <t>El Salvador</t>
  </si>
  <si>
    <t>SV</t>
  </si>
  <si>
    <t>Equatorial Guinea</t>
  </si>
  <si>
    <t>GQ</t>
  </si>
  <si>
    <t>Eritrea</t>
  </si>
  <si>
    <t>ER</t>
  </si>
  <si>
    <t>Estonia</t>
  </si>
  <si>
    <t>EE</t>
  </si>
  <si>
    <t>Ethiopia</t>
  </si>
  <si>
    <t>ET</t>
  </si>
  <si>
    <t>Falkland Islands (Malvinas)</t>
  </si>
  <si>
    <t>FK</t>
  </si>
  <si>
    <t>Faroe Islands</t>
  </si>
  <si>
    <t>FO</t>
  </si>
  <si>
    <t>Fiji</t>
  </si>
  <si>
    <t>FJ</t>
  </si>
  <si>
    <t>Finland</t>
  </si>
  <si>
    <t>FI</t>
  </si>
  <si>
    <t>Forenede Staters Forskellige Stillehavsøer</t>
  </si>
  <si>
    <t>PU</t>
  </si>
  <si>
    <t>France</t>
  </si>
  <si>
    <t>FR</t>
  </si>
  <si>
    <t>Frankrig, Metropolitan</t>
  </si>
  <si>
    <t>FX</t>
  </si>
  <si>
    <t>French Guiana</t>
  </si>
  <si>
    <t>GF</t>
  </si>
  <si>
    <t>French Polynesia</t>
  </si>
  <si>
    <t>PF</t>
  </si>
  <si>
    <t>French Southern Territories</t>
  </si>
  <si>
    <t>TF</t>
  </si>
  <si>
    <t>Gabon</t>
  </si>
  <si>
    <t>GA</t>
  </si>
  <si>
    <t>Gambia</t>
  </si>
  <si>
    <t>GM</t>
  </si>
  <si>
    <t>Georgia</t>
  </si>
  <si>
    <t>GE</t>
  </si>
  <si>
    <t>Germany</t>
  </si>
  <si>
    <t>DE</t>
  </si>
  <si>
    <t>Ghana</t>
  </si>
  <si>
    <t>GH</t>
  </si>
  <si>
    <t>Gibraltar</t>
  </si>
  <si>
    <t>GI</t>
  </si>
  <si>
    <t>Greece</t>
  </si>
  <si>
    <t>GR</t>
  </si>
  <si>
    <t>Greenland</t>
  </si>
  <si>
    <t>GL</t>
  </si>
  <si>
    <t>Grenada</t>
  </si>
  <si>
    <t>GD</t>
  </si>
  <si>
    <t>Guadeloupe</t>
  </si>
  <si>
    <t>GP</t>
  </si>
  <si>
    <t>Guam</t>
  </si>
  <si>
    <t>GU</t>
  </si>
  <si>
    <t>Guatemala</t>
  </si>
  <si>
    <t>GT</t>
  </si>
  <si>
    <t>Guinea</t>
  </si>
  <si>
    <t>GN</t>
  </si>
  <si>
    <t>Guinea-Bissau</t>
  </si>
  <si>
    <t>GW</t>
  </si>
  <si>
    <t>Guyana</t>
  </si>
  <si>
    <t>GY</t>
  </si>
  <si>
    <t>Haiti</t>
  </si>
  <si>
    <t>HT</t>
  </si>
  <si>
    <t>Heard Island and McDonald Island</t>
  </si>
  <si>
    <t>HM</t>
  </si>
  <si>
    <t>Holy See (Vatican City State)</t>
  </si>
  <si>
    <t>VA</t>
  </si>
  <si>
    <t>Honduras</t>
  </si>
  <si>
    <t>HN</t>
  </si>
  <si>
    <t>Hong kong</t>
  </si>
  <si>
    <t>HK</t>
  </si>
  <si>
    <t>Hungary</t>
  </si>
  <si>
    <t>HU</t>
  </si>
  <si>
    <t>Iceland</t>
  </si>
  <si>
    <t>IS</t>
  </si>
  <si>
    <t>India</t>
  </si>
  <si>
    <t>IN</t>
  </si>
  <si>
    <t>Indonesia</t>
  </si>
  <si>
    <t>ID</t>
  </si>
  <si>
    <t>Iran, Islamic Republic of</t>
  </si>
  <si>
    <t>IR</t>
  </si>
  <si>
    <t>Iraq</t>
  </si>
  <si>
    <t>IQ</t>
  </si>
  <si>
    <t>Ireland</t>
  </si>
  <si>
    <t>IE</t>
  </si>
  <si>
    <t>Israel</t>
  </si>
  <si>
    <t>IL</t>
  </si>
  <si>
    <t>Italy</t>
  </si>
  <si>
    <t>IT</t>
  </si>
  <si>
    <t>Jamaica</t>
  </si>
  <si>
    <t>JM</t>
  </si>
  <si>
    <t>Japan</t>
  </si>
  <si>
    <t>JP</t>
  </si>
  <si>
    <t>Johnston- og Sand-øerne</t>
  </si>
  <si>
    <t>JT</t>
  </si>
  <si>
    <t>Jordan</t>
  </si>
  <si>
    <t>JO</t>
  </si>
  <si>
    <t>Kazakhstan</t>
  </si>
  <si>
    <t>KZ</t>
  </si>
  <si>
    <t>Kenya</t>
  </si>
  <si>
    <t>KE</t>
  </si>
  <si>
    <t>Kiribati</t>
  </si>
  <si>
    <t>KI</t>
  </si>
  <si>
    <t>KP</t>
  </si>
  <si>
    <t>KR</t>
  </si>
  <si>
    <t>Kuwait</t>
  </si>
  <si>
    <t>KW</t>
  </si>
  <si>
    <t>Kyrgyzstan</t>
  </si>
  <si>
    <t>KG</t>
  </si>
  <si>
    <t>Lao People's Democratic Republi</t>
  </si>
  <si>
    <t>LA</t>
  </si>
  <si>
    <t>Latvia</t>
  </si>
  <si>
    <t>LV</t>
  </si>
  <si>
    <t>Lebanon</t>
  </si>
  <si>
    <t>LB</t>
  </si>
  <si>
    <t>Lesotho</t>
  </si>
  <si>
    <t>LS</t>
  </si>
  <si>
    <t>Liberia</t>
  </si>
  <si>
    <t>LR</t>
  </si>
  <si>
    <t>LY</t>
  </si>
  <si>
    <t>Liechtenstein</t>
  </si>
  <si>
    <t>LI</t>
  </si>
  <si>
    <t>Lithuania</t>
  </si>
  <si>
    <t>LT</t>
  </si>
  <si>
    <t>Luxembourg</t>
  </si>
  <si>
    <t>LU</t>
  </si>
  <si>
    <t>Macao</t>
  </si>
  <si>
    <t>MO</t>
  </si>
  <si>
    <t>Macedonia, the former Yugoslav R</t>
  </si>
  <si>
    <t>MK</t>
  </si>
  <si>
    <t>Madagascar</t>
  </si>
  <si>
    <t>MG</t>
  </si>
  <si>
    <t>Malawi</t>
  </si>
  <si>
    <t>MW</t>
  </si>
  <si>
    <t>Malaysia</t>
  </si>
  <si>
    <t>MY</t>
  </si>
  <si>
    <t>Maldives</t>
  </si>
  <si>
    <t>MV</t>
  </si>
  <si>
    <t>Mali</t>
  </si>
  <si>
    <t>ML</t>
  </si>
  <si>
    <t>Malta</t>
  </si>
  <si>
    <t>MT</t>
  </si>
  <si>
    <t>Marshall Islands</t>
  </si>
  <si>
    <t>MH</t>
  </si>
  <si>
    <t>Martinique</t>
  </si>
  <si>
    <t>MQ</t>
  </si>
  <si>
    <t>Mauritania</t>
  </si>
  <si>
    <t>MR</t>
  </si>
  <si>
    <t>Mauritius</t>
  </si>
  <si>
    <t>MU</t>
  </si>
  <si>
    <t>Mayotte</t>
  </si>
  <si>
    <t>YT</t>
  </si>
  <si>
    <t>Mexico</t>
  </si>
  <si>
    <t>MX</t>
  </si>
  <si>
    <t>Micronesia, Federated States of</t>
  </si>
  <si>
    <t>FM</t>
  </si>
  <si>
    <t>Midway-øerne</t>
  </si>
  <si>
    <t>MI</t>
  </si>
  <si>
    <t>Moldova, Republic of</t>
  </si>
  <si>
    <t>MD</t>
  </si>
  <si>
    <t>Monaco</t>
  </si>
  <si>
    <t>MC</t>
  </si>
  <si>
    <t>Mongolia</t>
  </si>
  <si>
    <t>MN</t>
  </si>
  <si>
    <t>Montserrat</t>
  </si>
  <si>
    <t>MS</t>
  </si>
  <si>
    <t>Morocco</t>
  </si>
  <si>
    <t>MA</t>
  </si>
  <si>
    <t>Mozambique</t>
  </si>
  <si>
    <t>MZ</t>
  </si>
  <si>
    <t>Myanmar</t>
  </si>
  <si>
    <t>MM</t>
  </si>
  <si>
    <t>Namibia</t>
  </si>
  <si>
    <t>NA</t>
  </si>
  <si>
    <t>Nauru</t>
  </si>
  <si>
    <t>NR</t>
  </si>
  <si>
    <t>Nepal</t>
  </si>
  <si>
    <t>NP</t>
  </si>
  <si>
    <t>Netherlands</t>
  </si>
  <si>
    <t>NL</t>
  </si>
  <si>
    <t>Netherlands Antilles</t>
  </si>
  <si>
    <t>AN</t>
  </si>
  <si>
    <t>New Caledonia</t>
  </si>
  <si>
    <t>NC</t>
  </si>
  <si>
    <t>New Zealand</t>
  </si>
  <si>
    <t>NZ</t>
  </si>
  <si>
    <t>Nicaragua</t>
  </si>
  <si>
    <t>NI</t>
  </si>
  <si>
    <t>Niger</t>
  </si>
  <si>
    <t>NE</t>
  </si>
  <si>
    <t>Nigeria</t>
  </si>
  <si>
    <t>NG</t>
  </si>
  <si>
    <t>Niue</t>
  </si>
  <si>
    <t>NU</t>
  </si>
  <si>
    <t>Norfolk Island</t>
  </si>
  <si>
    <t>NF</t>
  </si>
  <si>
    <t>Northern Mariana Islands</t>
  </si>
  <si>
    <t>MP</t>
  </si>
  <si>
    <t>Norway</t>
  </si>
  <si>
    <t>NO</t>
  </si>
  <si>
    <t>Oman</t>
  </si>
  <si>
    <t>OM</t>
  </si>
  <si>
    <t>Pacific Islands</t>
  </si>
  <si>
    <t>PC</t>
  </si>
  <si>
    <t>Pakistan</t>
  </si>
  <si>
    <t>PK</t>
  </si>
  <si>
    <t>Palau</t>
  </si>
  <si>
    <t>PW</t>
  </si>
  <si>
    <t>Panama</t>
  </si>
  <si>
    <t>PA</t>
  </si>
  <si>
    <t>Papua New Guinea</t>
  </si>
  <si>
    <t>PG</t>
  </si>
  <si>
    <t>Paraguay</t>
  </si>
  <si>
    <t>PY</t>
  </si>
  <si>
    <t>Peru</t>
  </si>
  <si>
    <t>PE</t>
  </si>
  <si>
    <t>Philippines</t>
  </si>
  <si>
    <t>PH</t>
  </si>
  <si>
    <t>Pitcairn</t>
  </si>
  <si>
    <t>PN</t>
  </si>
  <si>
    <t>Poland</t>
  </si>
  <si>
    <t>PL</t>
  </si>
  <si>
    <t>Portugal</t>
  </si>
  <si>
    <t>PT</t>
  </si>
  <si>
    <t>Puerto Rico</t>
  </si>
  <si>
    <t>PR</t>
  </si>
  <si>
    <t>Qatar</t>
  </si>
  <si>
    <t>QA</t>
  </si>
  <si>
    <t>Réunion</t>
  </si>
  <si>
    <t>RE</t>
  </si>
  <si>
    <t>Romania</t>
  </si>
  <si>
    <t>RO</t>
  </si>
  <si>
    <t>Russian Federation</t>
  </si>
  <si>
    <t>RU</t>
  </si>
  <si>
    <t>Rwanda</t>
  </si>
  <si>
    <t>RW</t>
  </si>
  <si>
    <t>Saint Helena</t>
  </si>
  <si>
    <t>SH</t>
  </si>
  <si>
    <t>Saint Kitts and Nevis</t>
  </si>
  <si>
    <t>KN</t>
  </si>
  <si>
    <t>Saint Lucia</t>
  </si>
  <si>
    <t>LC</t>
  </si>
  <si>
    <t>Saint Pierre and Miquelon</t>
  </si>
  <si>
    <t>PM</t>
  </si>
  <si>
    <t>Saint Vincent and the Grenadines</t>
  </si>
  <si>
    <t>VC</t>
  </si>
  <si>
    <t>Samoa</t>
  </si>
  <si>
    <t>WS</t>
  </si>
  <si>
    <t>San Marino</t>
  </si>
  <si>
    <t>SM</t>
  </si>
  <si>
    <t>Sao Tome and Principe</t>
  </si>
  <si>
    <t>ST</t>
  </si>
  <si>
    <t>Saudi Arabia</t>
  </si>
  <si>
    <t>SA</t>
  </si>
  <si>
    <t>Senegal</t>
  </si>
  <si>
    <t>SN</t>
  </si>
  <si>
    <t>CS</t>
  </si>
  <si>
    <t>Seychelles</t>
  </si>
  <si>
    <t>SC</t>
  </si>
  <si>
    <t>Sierra Leone</t>
  </si>
  <si>
    <t>SL</t>
  </si>
  <si>
    <t>Singapore</t>
  </si>
  <si>
    <t>SG</t>
  </si>
  <si>
    <t>Slovakia</t>
  </si>
  <si>
    <t>SK</t>
  </si>
  <si>
    <t>Slovenia</t>
  </si>
  <si>
    <t>SI</t>
  </si>
  <si>
    <t>Solomon Islands</t>
  </si>
  <si>
    <t>SB</t>
  </si>
  <si>
    <t>Somalia</t>
  </si>
  <si>
    <t>SO</t>
  </si>
  <si>
    <t>South Africa</t>
  </si>
  <si>
    <t>ZA</t>
  </si>
  <si>
    <t>South Georgia and the South Sand</t>
  </si>
  <si>
    <t>GS</t>
  </si>
  <si>
    <t>Spain</t>
  </si>
  <si>
    <t>ES</t>
  </si>
  <si>
    <t>Sri Lanka</t>
  </si>
  <si>
    <t>LK</t>
  </si>
  <si>
    <t>Sudan</t>
  </si>
  <si>
    <t>SD</t>
  </si>
  <si>
    <t>Suriname</t>
  </si>
  <si>
    <t>SR</t>
  </si>
  <si>
    <t>Svalbard and Jan Mayen</t>
  </si>
  <si>
    <t>SJ</t>
  </si>
  <si>
    <t>Swaziland</t>
  </si>
  <si>
    <t>SZ</t>
  </si>
  <si>
    <t>Sweden</t>
  </si>
  <si>
    <t>SE</t>
  </si>
  <si>
    <t>Switzerland</t>
  </si>
  <si>
    <t>CH</t>
  </si>
  <si>
    <t>Syrian Arab Republic</t>
  </si>
  <si>
    <t>SY</t>
  </si>
  <si>
    <t>Taiwan, province of China</t>
  </si>
  <si>
    <t>TW</t>
  </si>
  <si>
    <t>Tajikistan</t>
  </si>
  <si>
    <t>TJ</t>
  </si>
  <si>
    <t>Tanzania, United Republic of</t>
  </si>
  <si>
    <t>TZ</t>
  </si>
  <si>
    <t>Thailand</t>
  </si>
  <si>
    <t>TH</t>
  </si>
  <si>
    <t>Togo</t>
  </si>
  <si>
    <t>TG</t>
  </si>
  <si>
    <t>Tokelau</t>
  </si>
  <si>
    <t>TK</t>
  </si>
  <si>
    <t>Tonga</t>
  </si>
  <si>
    <t>TO</t>
  </si>
  <si>
    <t>Trinidad and Tobago</t>
  </si>
  <si>
    <t>TT</t>
  </si>
  <si>
    <t>Tunisia</t>
  </si>
  <si>
    <t>TN</t>
  </si>
  <si>
    <t>Turkey</t>
  </si>
  <si>
    <t>TR</t>
  </si>
  <si>
    <t>Turkmenistan</t>
  </si>
  <si>
    <t>TM</t>
  </si>
  <si>
    <t>Turks and Caicos Islands</t>
  </si>
  <si>
    <t>TC</t>
  </si>
  <si>
    <t>Tuvalu</t>
  </si>
  <si>
    <t>TV</t>
  </si>
  <si>
    <t>Uganda</t>
  </si>
  <si>
    <t>UG</t>
  </si>
  <si>
    <t>Ukraine</t>
  </si>
  <si>
    <t>UA</t>
  </si>
  <si>
    <t>United Arab Emirates</t>
  </si>
  <si>
    <t>AE</t>
  </si>
  <si>
    <t>United Kingdom</t>
  </si>
  <si>
    <t>GB</t>
  </si>
  <si>
    <t>United States</t>
  </si>
  <si>
    <t>US</t>
  </si>
  <si>
    <t>UM</t>
  </si>
  <si>
    <t>Uruguay</t>
  </si>
  <si>
    <t>UY</t>
  </si>
  <si>
    <t>USSR [Russiske Føderation]</t>
  </si>
  <si>
    <t>SU</t>
  </si>
  <si>
    <t>Uzbekistan</t>
  </si>
  <si>
    <t>UZ</t>
  </si>
  <si>
    <t>Vanuatu</t>
  </si>
  <si>
    <t>VU</t>
  </si>
  <si>
    <t>VE</t>
  </si>
  <si>
    <t>Viet Nam</t>
  </si>
  <si>
    <t>VN</t>
  </si>
  <si>
    <t>Virgin Islands, British</t>
  </si>
  <si>
    <t>VG</t>
  </si>
  <si>
    <t>Virgin Islands, U.S.</t>
  </si>
  <si>
    <t>VI</t>
  </si>
  <si>
    <t>Wake-øen</t>
  </si>
  <si>
    <t>WK</t>
  </si>
  <si>
    <t>Wallis and Futuna</t>
  </si>
  <si>
    <t>WF</t>
  </si>
  <si>
    <t>Western Sahara</t>
  </si>
  <si>
    <t>EH</t>
  </si>
  <si>
    <t>Yemen</t>
  </si>
  <si>
    <t>YE</t>
  </si>
  <si>
    <t>Zaire [Den Demokratiske Republik Congo]</t>
  </si>
  <si>
    <t>ZR</t>
  </si>
  <si>
    <t>Zambia</t>
  </si>
  <si>
    <t>ZM</t>
  </si>
  <si>
    <t>Zimbabwe</t>
  </si>
  <si>
    <t>ZW</t>
  </si>
  <si>
    <t>Øvre Volta [Burkina Faso]</t>
  </si>
  <si>
    <t>HV</t>
  </si>
  <si>
    <t>Institution 4</t>
  </si>
  <si>
    <t>Institution 5</t>
  </si>
  <si>
    <t>Institution 6</t>
  </si>
  <si>
    <t>Institution 7</t>
  </si>
  <si>
    <t>Institution 8</t>
  </si>
  <si>
    <t>Institution 9</t>
  </si>
  <si>
    <t>Institution 10</t>
  </si>
  <si>
    <t>#</t>
  </si>
  <si>
    <t>Scientific/academic salary (applicant)</t>
  </si>
  <si>
    <t>Research expenses: bench-fees</t>
  </si>
  <si>
    <t>DRIFT-DFF-IPD3</t>
  </si>
  <si>
    <t>Research expenses: books and subscriptions</t>
  </si>
  <si>
    <t>DRIFT-DFF-IPD4</t>
  </si>
  <si>
    <t>Research expenses: IT</t>
  </si>
  <si>
    <t>DRIFT-DFF-IPD5</t>
  </si>
  <si>
    <t>Research expenses: lab expenses</t>
  </si>
  <si>
    <t>DRIFT-DFF-IPD6</t>
  </si>
  <si>
    <t>Research expenses: participations in conferences</t>
  </si>
  <si>
    <t>DRIFT-DFF-IPD7</t>
  </si>
  <si>
    <t>Research expenses: travel in connection with conferences, workshops, etc.</t>
  </si>
  <si>
    <t>DRIFT-DFF-IPD8</t>
  </si>
  <si>
    <t>Research stay: one outward and return journey (applicant)</t>
  </si>
  <si>
    <t>DRIFT-DFF-IPD10</t>
  </si>
  <si>
    <t>Research stay: insurance of equipment</t>
  </si>
  <si>
    <t>DRIFT-DFF-IPD9</t>
  </si>
  <si>
    <t>Research stay: travel and health insurance (applicant)</t>
  </si>
  <si>
    <t>DRIFT-DFF-IPD13</t>
  </si>
  <si>
    <t>Research stay: rented accommodation in the host country</t>
  </si>
  <si>
    <t>DRIFT-DFF-IPD11</t>
  </si>
  <si>
    <t>Research stay: shipping of household effects (max 10,000 DKK)</t>
  </si>
  <si>
    <t>DRIFT-DFF-IPD12</t>
  </si>
  <si>
    <t>Accompanying spouse/partner (no children), travel and stay (max 100,000 DKK)</t>
  </si>
  <si>
    <t>DRIFT-DFF-IPD1</t>
  </si>
  <si>
    <t>Accompanying spouse/partner (with children),  travel and stay (max 200,000 DKK)</t>
  </si>
  <si>
    <t>DRIFT-DFF-IPD2</t>
  </si>
  <si>
    <t>Participating</t>
  </si>
  <si>
    <t>Id</t>
  </si>
  <si>
    <t>Partnertype</t>
  </si>
  <si>
    <t>IsOrganisation</t>
  </si>
  <si>
    <t>SystemSagRolleEnum</t>
  </si>
  <si>
    <t>CreateSagspartOnApplication</t>
  </si>
  <si>
    <t>Navn</t>
  </si>
  <si>
    <t>Afdeling</t>
  </si>
  <si>
    <t>CVRnr</t>
  </si>
  <si>
    <t>Pnr</t>
  </si>
  <si>
    <t>Adresselinje1</t>
  </si>
  <si>
    <t>Adresselinje2</t>
  </si>
  <si>
    <t>Bynavn</t>
  </si>
  <si>
    <t>Landekode</t>
  </si>
  <si>
    <t>Overheadsats</t>
  </si>
  <si>
    <t>Partner</t>
  </si>
  <si>
    <t>Projektpartner</t>
  </si>
  <si>
    <t>Omkostningsart - Expense</t>
  </si>
  <si>
    <t>Omkostningsart - Participant</t>
  </si>
  <si>
    <t>LØN-PHD</t>
  </si>
  <si>
    <t>LØN-POSTDOC</t>
  </si>
  <si>
    <t>Position</t>
  </si>
  <si>
    <t>Total</t>
  </si>
  <si>
    <t>Funding from other sources</t>
  </si>
  <si>
    <t xml:space="preserve">Project participation    </t>
  </si>
  <si>
    <t>Months</t>
  </si>
  <si>
    <t>Position, Name</t>
  </si>
  <si>
    <t>The budget figures are collected from the uploaded spreadsheet file</t>
  </si>
  <si>
    <t xml:space="preserve">Other sources </t>
  </si>
  <si>
    <t>Total (DKK)</t>
  </si>
  <si>
    <t>n/a</t>
  </si>
  <si>
    <t>Expense type</t>
  </si>
  <si>
    <t xml:space="preserve">Name </t>
  </si>
  <si>
    <t>Expenses</t>
  </si>
  <si>
    <t>PartnerId</t>
  </si>
  <si>
    <t>Beloeb</t>
  </si>
  <si>
    <t>Finansieringstype</t>
  </si>
  <si>
    <t>OmkostningsartKode</t>
  </si>
  <si>
    <t>EnhedstypeKode</t>
  </si>
  <si>
    <t>Enhedsantal</t>
  </si>
  <si>
    <t>Enhedspris</t>
  </si>
  <si>
    <t>PeriodeStartdato</t>
  </si>
  <si>
    <t>PeriodeSlutdato</t>
  </si>
  <si>
    <t>Specifikation</t>
  </si>
  <si>
    <t>Arbejdspakke</t>
  </si>
  <si>
    <t>AggregeretPost</t>
  </si>
  <si>
    <t>Fornavn</t>
  </si>
  <si>
    <t>Efternavn</t>
  </si>
  <si>
    <t>Reference</t>
  </si>
  <si>
    <t>BevillingsgiverFinansiering</t>
  </si>
  <si>
    <t xml:space="preserve">Egenfinansiering </t>
  </si>
  <si>
    <t>EksternFinansiering</t>
  </si>
  <si>
    <t>First startdate</t>
  </si>
  <si>
    <t>Last startdate</t>
  </si>
  <si>
    <t>First enddate</t>
  </si>
  <si>
    <t>Last enddate</t>
  </si>
  <si>
    <t>Institutions</t>
  </si>
  <si>
    <t>UDSTYR1</t>
  </si>
  <si>
    <t>m</t>
  </si>
  <si>
    <t>pcs</t>
  </si>
  <si>
    <t>Overhead rates</t>
  </si>
  <si>
    <t>Institution type</t>
  </si>
  <si>
    <t>Danish institutions (including Danish universities and sector research institutes) which are subject to the rules regarding grant-funded research activities in the Danish Ministry of Finance’s budget guidelines, and which are authorised to carry out grant-funded research activities.</t>
  </si>
  <si>
    <t>Authorised  Danish Technological Service Institutes (GTS institutes)</t>
  </si>
  <si>
    <t>Danish institutions which fulfil all of the following criteria:
- they receive and are expected to continue receiving a fixed state subsidy of minimum 25% (measured in relation to the total annual turnover) for covering operating expenses
- they must be non-profit institutions which do not seek to generate profit, and where any profit may not be distributed among the owners.
- carrying out research must be a central purpose of the institutions.</t>
  </si>
  <si>
    <t>All other Danish and foreign institutions and enterprises</t>
  </si>
  <si>
    <t>Institution name</t>
  </si>
  <si>
    <t>Fagråd</t>
  </si>
  <si>
    <t>Ansøgningsfrist - Dato</t>
  </si>
  <si>
    <t>Application deadline</t>
  </si>
  <si>
    <t>Other leave of absence in number of weeks (e.g., illness or family care leave, leave for military service, humanitarian aid work, etc.)</t>
  </si>
  <si>
    <t xml:space="preserve">Forskeruddannelse uden for uni. </t>
  </si>
  <si>
    <t>International post doc.-stipendier</t>
  </si>
  <si>
    <t>Description, max. 300 characters</t>
  </si>
  <si>
    <t>Institution 11</t>
  </si>
  <si>
    <r>
      <rPr>
        <b/>
        <sz val="10"/>
        <rFont val="Calibri"/>
        <family val="2"/>
        <scheme val="minor"/>
      </rPr>
      <t xml:space="preserve">P no. </t>
    </r>
    <r>
      <rPr>
        <sz val="10"/>
        <rFont val="Calibri"/>
        <family val="2"/>
        <scheme val="minor"/>
      </rPr>
      <t xml:space="preserve">(for use with Danish institutions, optional; also available at datacvr.virk.dk) </t>
    </r>
  </si>
  <si>
    <t>This page will be displayed in the pdf version of your application. The budget figures are collected from the uploaded spreadsheet file.</t>
  </si>
  <si>
    <t>Description of other expenses (max. 300 characters)</t>
  </si>
  <si>
    <t>Description of salary expenses (max. 300 characters)</t>
  </si>
  <si>
    <t>Description of other expenses</t>
  </si>
  <si>
    <t>Date of PhD degree
(dd-mm-yy)</t>
  </si>
  <si>
    <t>Belgium</t>
  </si>
  <si>
    <t>BE</t>
  </si>
  <si>
    <t>Montenegro</t>
  </si>
  <si>
    <t>Capo Verde</t>
  </si>
  <si>
    <t>Korea (Democratic People's Republic of)</t>
  </si>
  <si>
    <t>Korea (Republic of)</t>
  </si>
  <si>
    <t>Libya</t>
  </si>
  <si>
    <t>TL</t>
  </si>
  <si>
    <t>Timor-Leste</t>
  </si>
  <si>
    <t>United States Minor Outlying Islands</t>
  </si>
  <si>
    <t>Venezuela (Bolivarian Republic of)</t>
  </si>
  <si>
    <t>RS</t>
  </si>
  <si>
    <t>Serbia</t>
  </si>
  <si>
    <t>BQ</t>
  </si>
  <si>
    <t>Bonaire, Sint Eustatius and Saba</t>
  </si>
  <si>
    <t>CW</t>
  </si>
  <si>
    <t>Curaçao</t>
  </si>
  <si>
    <t>SX</t>
  </si>
  <si>
    <t>Sint Maarten (Dutch part)</t>
  </si>
  <si>
    <t>LandUK</t>
  </si>
  <si>
    <t>Version</t>
  </si>
  <si>
    <t>DFF-stort</t>
  </si>
  <si>
    <r>
      <t>Project title</t>
    </r>
    <r>
      <rPr>
        <b/>
        <sz val="10"/>
        <color rgb="FFFF5050"/>
        <rFont val="Calibri"/>
        <family val="2"/>
        <scheme val="minor"/>
      </rPr>
      <t xml:space="preserve"> *</t>
    </r>
  </si>
  <si>
    <r>
      <t xml:space="preserve">Applicant </t>
    </r>
    <r>
      <rPr>
        <b/>
        <sz val="10"/>
        <color rgb="FFFF5050"/>
        <rFont val="Calibri"/>
        <family val="2"/>
        <scheme val="minor"/>
      </rPr>
      <t>*</t>
    </r>
  </si>
  <si>
    <r>
      <t xml:space="preserve">Project start date: (dd-mm-yy) </t>
    </r>
    <r>
      <rPr>
        <b/>
        <sz val="10"/>
        <color rgb="FFFF5050"/>
        <rFont val="Calibri"/>
        <family val="2"/>
        <scheme val="minor"/>
      </rPr>
      <t>*</t>
    </r>
  </si>
  <si>
    <r>
      <t xml:space="preserve">Project end date: (dd-mm-yy) </t>
    </r>
    <r>
      <rPr>
        <b/>
        <sz val="10"/>
        <color rgb="FFFF5050"/>
        <rFont val="Calibri"/>
        <family val="2"/>
        <scheme val="minor"/>
      </rPr>
      <t>*</t>
    </r>
  </si>
  <si>
    <r>
      <t xml:space="preserve">Institution type </t>
    </r>
    <r>
      <rPr>
        <b/>
        <sz val="10"/>
        <color rgb="FFFF5050"/>
        <rFont val="Calibri"/>
        <family val="2"/>
        <scheme val="minor"/>
      </rPr>
      <t>*</t>
    </r>
    <r>
      <rPr>
        <b/>
        <sz val="10"/>
        <color rgb="FFFF0000"/>
        <rFont val="Calibri"/>
        <family val="2"/>
        <scheme val="minor"/>
      </rPr>
      <t xml:space="preserve">
</t>
    </r>
    <r>
      <rPr>
        <sz val="10"/>
        <color rgb="FFFF5050"/>
        <rFont val="Calibri"/>
        <family val="2"/>
        <scheme val="minor"/>
      </rPr>
      <t>(select from the dropdown menu)</t>
    </r>
  </si>
  <si>
    <r>
      <t xml:space="preserve">Overhead percentage </t>
    </r>
    <r>
      <rPr>
        <b/>
        <sz val="10"/>
        <color rgb="FFFF5050"/>
        <rFont val="Calibri"/>
        <family val="2"/>
        <scheme val="minor"/>
      </rPr>
      <t>*</t>
    </r>
    <r>
      <rPr>
        <sz val="10"/>
        <color rgb="FFFF5050"/>
        <rFont val="Calibri"/>
        <family val="2"/>
        <scheme val="minor"/>
      </rPr>
      <t xml:space="preserve"> </t>
    </r>
    <r>
      <rPr>
        <sz val="10"/>
        <color rgb="FFFF0000"/>
        <rFont val="Calibri"/>
        <family val="2"/>
        <scheme val="minor"/>
      </rPr>
      <t xml:space="preserve">
</t>
    </r>
    <r>
      <rPr>
        <sz val="10"/>
        <color rgb="FFFF5050"/>
        <rFont val="Calibri"/>
        <family val="2"/>
        <scheme val="minor"/>
      </rPr>
      <t>(select from the dropdown menu)</t>
    </r>
  </si>
  <si>
    <r>
      <t>Address line 1</t>
    </r>
    <r>
      <rPr>
        <b/>
        <sz val="10"/>
        <color rgb="FFFF0000"/>
        <rFont val="Calibri"/>
        <family val="2"/>
        <scheme val="minor"/>
      </rPr>
      <t xml:space="preserve"> </t>
    </r>
    <r>
      <rPr>
        <b/>
        <sz val="10"/>
        <color rgb="FFFF5050"/>
        <rFont val="Calibri"/>
        <family val="2"/>
        <scheme val="minor"/>
      </rPr>
      <t>*</t>
    </r>
  </si>
  <si>
    <r>
      <t>City</t>
    </r>
    <r>
      <rPr>
        <b/>
        <sz val="10"/>
        <color rgb="FFFF5050"/>
        <rFont val="Calibri"/>
        <family val="2"/>
        <scheme val="minor"/>
      </rPr>
      <t xml:space="preserve"> *</t>
    </r>
  </si>
  <si>
    <r>
      <t xml:space="preserve">Country </t>
    </r>
    <r>
      <rPr>
        <b/>
        <sz val="10"/>
        <color rgb="FFFF5050"/>
        <rFont val="Calibri"/>
        <family val="2"/>
        <scheme val="minor"/>
      </rPr>
      <t xml:space="preserve">*
</t>
    </r>
    <r>
      <rPr>
        <sz val="10"/>
        <color rgb="FFFF5050"/>
        <rFont val="Calibri"/>
        <family val="2"/>
        <scheme val="minor"/>
      </rPr>
      <t>(select from the dropdown menu)</t>
    </r>
  </si>
  <si>
    <r>
      <rPr>
        <b/>
        <sz val="10"/>
        <color theme="1"/>
        <rFont val="Calibri"/>
        <family val="2"/>
        <scheme val="minor"/>
      </rPr>
      <t>First name</t>
    </r>
    <r>
      <rPr>
        <b/>
        <sz val="10"/>
        <color rgb="FFFF5050"/>
        <rFont val="Calibri"/>
        <family val="2"/>
        <scheme val="minor"/>
      </rPr>
      <t xml:space="preserve"> *</t>
    </r>
  </si>
  <si>
    <r>
      <t xml:space="preserve">Surname </t>
    </r>
    <r>
      <rPr>
        <b/>
        <sz val="10"/>
        <color rgb="FFFF5050"/>
        <rFont val="Calibri"/>
        <family val="2"/>
        <scheme val="minor"/>
      </rPr>
      <t>*</t>
    </r>
  </si>
  <si>
    <r>
      <rPr>
        <b/>
        <sz val="10"/>
        <color theme="0"/>
        <rFont val="Calibri"/>
        <family val="2"/>
        <scheme val="minor"/>
      </rPr>
      <t>Institution</t>
    </r>
    <r>
      <rPr>
        <b/>
        <sz val="10"/>
        <color rgb="FFFF0000"/>
        <rFont val="Calibri"/>
        <family val="2"/>
        <scheme val="minor"/>
      </rPr>
      <t xml:space="preserve">
</t>
    </r>
    <r>
      <rPr>
        <b/>
        <sz val="10"/>
        <color rgb="FFFF5050"/>
        <rFont val="Calibri"/>
        <family val="2"/>
        <scheme val="minor"/>
      </rPr>
      <t>(select from the dropdown menu)</t>
    </r>
  </si>
  <si>
    <r>
      <t xml:space="preserve">Expense type:
</t>
    </r>
    <r>
      <rPr>
        <b/>
        <sz val="10"/>
        <color rgb="FFFF5050"/>
        <rFont val="Calibri"/>
        <family val="2"/>
        <scheme val="minor"/>
      </rPr>
      <t>(select from the dropdown menu)</t>
    </r>
  </si>
  <si>
    <r>
      <t xml:space="preserve">Institution
</t>
    </r>
    <r>
      <rPr>
        <b/>
        <sz val="10"/>
        <color rgb="FFFF5050"/>
        <rFont val="Calibri"/>
        <family val="2"/>
        <scheme val="minor"/>
      </rPr>
      <t>(select from the dropdown menu)</t>
    </r>
  </si>
  <si>
    <t>Applicant</t>
  </si>
  <si>
    <t>Postdoc</t>
  </si>
  <si>
    <t>Technical/administrative staff</t>
  </si>
  <si>
    <t>Total scientific/academic</t>
  </si>
  <si>
    <r>
      <t xml:space="preserve">Type: 
</t>
    </r>
    <r>
      <rPr>
        <b/>
        <sz val="10"/>
        <color rgb="FFFF5050"/>
        <rFont val="Calibri"/>
        <family val="2"/>
        <scheme val="minor"/>
      </rPr>
      <t>(select from the dropdown menu)</t>
    </r>
  </si>
  <si>
    <t>Number of working months</t>
  </si>
  <si>
    <t>Total number of working months</t>
  </si>
  <si>
    <t>CPRnr</t>
  </si>
  <si>
    <t>VATnr</t>
  </si>
  <si>
    <t>Organisationsstoerrelse</t>
  </si>
  <si>
    <t>Budgetmodel</t>
  </si>
  <si>
    <t>Aktivitetstype</t>
  </si>
  <si>
    <t>Kostfaktor</t>
  </si>
  <si>
    <t>Timetakst</t>
  </si>
  <si>
    <t>Aktivitetstypekode</t>
  </si>
  <si>
    <t>Scientific/academic staff</t>
  </si>
  <si>
    <t>PhD student</t>
  </si>
  <si>
    <t>Scientific/academic staff excluding postdocs and PhD students</t>
  </si>
  <si>
    <r>
      <t xml:space="preserve">Institution name </t>
    </r>
    <r>
      <rPr>
        <b/>
        <sz val="10"/>
        <color rgb="FFFF0000"/>
        <rFont val="Calibri"/>
        <family val="2"/>
        <scheme val="minor"/>
      </rPr>
      <t/>
    </r>
  </si>
  <si>
    <t>Overhead percentage</t>
  </si>
  <si>
    <t>VIVE - The Danish Centre of Applied Social Science</t>
  </si>
  <si>
    <t xml:space="preserve">  </t>
  </si>
  <si>
    <r>
      <rPr>
        <b/>
        <sz val="24"/>
        <color rgb="FF014A69"/>
        <rFont val="Calibri"/>
        <family val="2"/>
        <scheme val="minor"/>
      </rPr>
      <t>Budget</t>
    </r>
    <r>
      <rPr>
        <sz val="10"/>
        <color rgb="FF014A69"/>
        <rFont val="Calibri"/>
        <family val="2"/>
        <scheme val="minor"/>
      </rPr>
      <t xml:space="preserve"> </t>
    </r>
  </si>
  <si>
    <t>Independent Research Fund Denmark</t>
  </si>
  <si>
    <t>Leave the columns with date and numbers of weeks empty if the candidate does not (yet) have a PhD degree or if the candidate is unnamed at the time of application.</t>
  </si>
  <si>
    <t>PhD age adjusted with regard to maternity/paternity leave (years) *</t>
  </si>
  <si>
    <t>Total IRFD financing</t>
  </si>
  <si>
    <r>
      <t xml:space="preserve">Instrument </t>
    </r>
    <r>
      <rPr>
        <b/>
        <sz val="10"/>
        <color rgb="FFFF5050"/>
        <rFont val="Calibri"/>
        <family val="2"/>
        <scheme val="minor"/>
      </rPr>
      <t xml:space="preserve">*
</t>
    </r>
    <r>
      <rPr>
        <sz val="10"/>
        <color rgb="FFFF5050"/>
        <rFont val="Calibri"/>
        <family val="2"/>
        <scheme val="minor"/>
      </rPr>
      <t>(select from the dropdown menu)</t>
    </r>
  </si>
  <si>
    <t>See the call text for maximum project duration</t>
  </si>
  <si>
    <t>Name of department, if relevant</t>
  </si>
  <si>
    <r>
      <t xml:space="preserve">Participants
</t>
    </r>
    <r>
      <rPr>
        <b/>
        <i/>
        <sz val="10"/>
        <color rgb="FF014A69"/>
        <rFont val="Calibri"/>
        <family val="2"/>
        <scheme val="minor"/>
      </rPr>
      <t>The budget figures are collected from the uploaded spreadsheet file</t>
    </r>
  </si>
  <si>
    <r>
      <t xml:space="preserve">Participants
</t>
    </r>
    <r>
      <rPr>
        <b/>
        <i/>
        <sz val="10"/>
        <color rgb="FF014A69"/>
        <rFont val="Calibri"/>
        <family val="2"/>
        <scheme val="minor"/>
      </rPr>
      <t>This page will be displayed in the pdf version of your application. The budget figures are collected from the uploaded spreadsheet file.</t>
    </r>
  </si>
  <si>
    <t>State-recognised museums (cf. the Danish Museum Act) and state-owned museums in Greenland and on the Faroe Islands</t>
  </si>
  <si>
    <t>Total - excl. overhead</t>
  </si>
  <si>
    <t>Total excl. overhead</t>
  </si>
  <si>
    <t>Public hospitals in Denmark, in Greenland and on the Faroe Islands</t>
  </si>
  <si>
    <t>Duration in months (rounded off)</t>
  </si>
  <si>
    <t>Salary expenses</t>
  </si>
  <si>
    <t>Other expenses</t>
  </si>
  <si>
    <r>
      <t xml:space="preserve">Postcode </t>
    </r>
    <r>
      <rPr>
        <b/>
        <sz val="10"/>
        <color rgb="FFFF5050"/>
        <rFont val="Calibri"/>
        <family val="2"/>
        <scheme val="minor"/>
      </rPr>
      <t>*</t>
    </r>
  </si>
  <si>
    <t>DFF financing</t>
  </si>
  <si>
    <t>Postdoc(s)</t>
  </si>
  <si>
    <t>DFF financing divided by cost type and year</t>
  </si>
  <si>
    <t>DFF financing divided by cost type and institutions</t>
  </si>
  <si>
    <t>Description of the type of ’other leave of absence’
Or (if the date of PhD degree is left empty): State the expected date or describe other similar qualifications than PhD degree 
Or (if the candidate is unnamed): Leave the column empty
(max. 300 characters)</t>
  </si>
  <si>
    <t>Amount excl. overheads (DKK)</t>
  </si>
  <si>
    <t xml:space="preserve">DFF-financing </t>
  </si>
  <si>
    <t>PhD-student(s)</t>
  </si>
  <si>
    <t>Expenses excl. payroll costs - details (DFF financing only)</t>
  </si>
  <si>
    <r>
      <t xml:space="preserve"> 
</t>
    </r>
    <r>
      <rPr>
        <b/>
        <sz val="12"/>
        <color rgb="FF595959"/>
        <rFont val="Calibri"/>
        <family val="2"/>
        <scheme val="minor"/>
      </rPr>
      <t>Instructions related to the following list of institutions involved in the project:</t>
    </r>
  </si>
  <si>
    <t>Participants and specifications for pay and working months
Include all participants regardless of whether they will be remunerated by DFF</t>
  </si>
  <si>
    <t>Total DFF financing</t>
  </si>
  <si>
    <t>Amount (excl. overheads)
DKK</t>
  </si>
  <si>
    <t>Overheads</t>
  </si>
  <si>
    <t>Funded by DFF</t>
  </si>
  <si>
    <r>
      <t>Institution name</t>
    </r>
    <r>
      <rPr>
        <b/>
        <sz val="10"/>
        <color rgb="FFFF5050"/>
        <rFont val="Calibri"/>
        <family val="2"/>
        <scheme val="minor"/>
      </rPr>
      <t xml:space="preserve"> * </t>
    </r>
    <r>
      <rPr>
        <sz val="10"/>
        <color rgb="FF595959"/>
        <rFont val="Calibri"/>
        <family val="2"/>
        <scheme val="minor"/>
      </rPr>
      <t>(</t>
    </r>
    <r>
      <rPr>
        <sz val="10"/>
        <color rgb="FFFF0000"/>
        <rFont val="Calibri"/>
        <family val="2"/>
        <scheme val="minor"/>
      </rPr>
      <t>select from the dropdown menu</t>
    </r>
    <r>
      <rPr>
        <sz val="10"/>
        <color rgb="FF595959"/>
        <rFont val="Calibri"/>
        <family val="2"/>
        <scheme val="minor"/>
      </rPr>
      <t>.  If the institution is not on the menu, fill in information about the institution name, address, etc.)</t>
    </r>
  </si>
  <si>
    <r>
      <rPr>
        <b/>
        <sz val="10"/>
        <rFont val="Calibri"/>
        <family val="2"/>
        <scheme val="minor"/>
      </rPr>
      <t xml:space="preserve">CVR no. </t>
    </r>
    <r>
      <rPr>
        <sz val="10"/>
        <rFont val="Calibri"/>
        <family val="2"/>
        <scheme val="minor"/>
      </rPr>
      <t>(required for Danish institutions, please find the no. at datacvr.virk.dk)</t>
    </r>
  </si>
  <si>
    <t>PhD age for postdoctoral candidates</t>
  </si>
  <si>
    <t>Maternity or paternity leave in number of weeks</t>
  </si>
  <si>
    <t>DFF financing: Amount DKK per year (excl. overheads)</t>
  </si>
  <si>
    <t>Total excl. overheads</t>
  </si>
  <si>
    <t>DFF | Humanities</t>
  </si>
  <si>
    <t>DFF | Natural Sciences</t>
  </si>
  <si>
    <t>DFF | Social Sciences</t>
  </si>
  <si>
    <t>DFF | Medical Sciences</t>
  </si>
  <si>
    <t>DFF | Technology and Producion Sciences</t>
  </si>
  <si>
    <t xml:space="preserve">Scientific/academic staff </t>
  </si>
  <si>
    <t>Technical/administrative staff (TAP)</t>
  </si>
  <si>
    <t>Total other scientific/academic staff</t>
  </si>
  <si>
    <t>Dato</t>
  </si>
  <si>
    <t>Automatisk</t>
  </si>
  <si>
    <t>Udbetalingsplan</t>
  </si>
  <si>
    <t>ErSidsteAar</t>
  </si>
  <si>
    <t>Budgetår</t>
  </si>
  <si>
    <t>Budgettal</t>
  </si>
  <si>
    <t>Please do not copy and paste information, e.g. from one cell to another in the spreadsheet,</t>
  </si>
  <si>
    <t>as this will result in problems when uploading the budget to e-grant.</t>
  </si>
  <si>
    <t>DFF-Research Project1</t>
  </si>
  <si>
    <t>DFF-Research Project2</t>
  </si>
  <si>
    <t>Earliest start date: 01-07-21, latest start date  01-01-22</t>
  </si>
  <si>
    <t>* Calculated from 1 October 2020</t>
  </si>
  <si>
    <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</si>
</sst>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 #,##0.00_ ;_ * \-#,##0.00_ ;_ * &quot;-&quot;??_ ;_ @_ "/>
    <numFmt numFmtId="165" formatCode="#,##0_ ;[Red]\-#,##0\ "/>
    <numFmt numFmtId="166" formatCode="dd/mm/yy;@"/>
    <numFmt numFmtId="167" formatCode="0.0%"/>
    <numFmt numFmtId="168" formatCode="0.0"/>
    <numFmt numFmtId="169" formatCode="#,##0.0;[Red]\-#,##0.0"/>
    <numFmt numFmtId="170" formatCode="_ * #,##0_ ;_ * \-#,##0_ ;_ * &quot;-&quot;??_ ;_ @_ "/>
    <numFmt numFmtId="171" formatCode="[$DKK]\ #,##0"/>
    <numFmt numFmtId="172" formatCode="0.0000"/>
    <numFmt numFmtId="173" formatCode="#,##0_ ;\-#,##0\ "/>
  </numFmts>
  <fonts count="56"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font>
    <font>
      <u/>
      <sz val="11"/>
      <color theme="10"/>
      <name val="Calibri"/>
      <family val="2"/>
      <scheme val="minor"/>
    </font>
    <font>
      <sz val="10"/>
      <color rgb="FFFF0000"/>
      <name val="Calibri"/>
      <family val="2"/>
      <scheme val="minor"/>
    </font>
    <font>
      <sz val="10"/>
      <color theme="1"/>
      <name val="Calibri"/>
      <family val="2"/>
      <scheme val="minor"/>
    </font>
    <font>
      <b/>
      <sz val="10"/>
      <color theme="1"/>
      <name val="Calibri"/>
      <family val="2"/>
      <scheme val="minor"/>
    </font>
    <font>
      <b/>
      <sz val="10"/>
      <color theme="0"/>
      <name val="Calibri"/>
      <family val="2"/>
      <scheme val="minor"/>
    </font>
    <font>
      <b/>
      <sz val="10"/>
      <color rgb="FFFF0000"/>
      <name val="Calibri"/>
      <family val="2"/>
      <scheme val="minor"/>
    </font>
    <font>
      <b/>
      <sz val="10"/>
      <name val="Calibri"/>
      <family val="2"/>
      <scheme val="minor"/>
    </font>
    <font>
      <sz val="10"/>
      <name val="Calibri"/>
      <family val="2"/>
      <scheme val="minor"/>
    </font>
    <font>
      <sz val="10"/>
      <color theme="1"/>
      <name val="Calibri"/>
      <family val="2"/>
    </font>
    <font>
      <b/>
      <sz val="11"/>
      <color theme="0"/>
      <name val="Calibri"/>
      <family val="2"/>
      <scheme val="minor"/>
    </font>
    <font>
      <sz val="10"/>
      <name val="Calibri"/>
      <family val="2"/>
    </font>
    <font>
      <sz val="11"/>
      <name val="Calibri"/>
      <family val="2"/>
    </font>
    <font>
      <sz val="10"/>
      <color rgb="FF000000"/>
      <name val="Calibri"/>
      <family val="2"/>
    </font>
    <font>
      <sz val="10"/>
      <color rgb="FF242729"/>
      <name val="Consolas"/>
      <family val="3"/>
    </font>
    <font>
      <sz val="10"/>
      <color theme="0"/>
      <name val="Calibri"/>
      <family val="2"/>
      <scheme val="minor"/>
    </font>
    <font>
      <b/>
      <sz val="9"/>
      <color theme="0"/>
      <name val="Calibri"/>
      <family val="2"/>
      <scheme val="minor"/>
    </font>
    <font>
      <b/>
      <sz val="14"/>
      <color rgb="FF024969"/>
      <name val="Calibri"/>
      <family val="2"/>
      <scheme val="minor"/>
    </font>
    <font>
      <b/>
      <i/>
      <sz val="10"/>
      <color rgb="FF024969"/>
      <name val="Calibri"/>
      <family val="2"/>
      <scheme val="minor"/>
    </font>
    <font>
      <b/>
      <sz val="10"/>
      <color rgb="FF011D29"/>
      <name val="Calibri"/>
      <family val="2"/>
      <scheme val="minor"/>
    </font>
    <font>
      <b/>
      <sz val="9"/>
      <color theme="1"/>
      <name val="Calibri"/>
      <family val="2"/>
      <scheme val="minor"/>
    </font>
    <font>
      <b/>
      <i/>
      <sz val="9"/>
      <color theme="1"/>
      <name val="Calibri"/>
      <family val="2"/>
      <scheme val="minor"/>
    </font>
    <font>
      <b/>
      <sz val="9"/>
      <color rgb="FF024969"/>
      <name val="Calibri"/>
      <family val="2"/>
      <scheme val="minor"/>
    </font>
    <font>
      <sz val="10"/>
      <color rgb="FF011D29"/>
      <name val="Calibri"/>
      <family val="2"/>
      <scheme val="minor"/>
    </font>
    <font>
      <b/>
      <sz val="16"/>
      <color rgb="FF014A69"/>
      <name val="Calibri"/>
      <family val="2"/>
      <scheme val="minor"/>
    </font>
    <font>
      <b/>
      <sz val="11"/>
      <color theme="4" tint="-0.249977111117893"/>
      <name val="Calibri"/>
      <family val="2"/>
      <scheme val="minor"/>
    </font>
    <font>
      <i/>
      <sz val="10"/>
      <name val="Calibri"/>
      <family val="2"/>
      <scheme val="minor"/>
    </font>
    <font>
      <b/>
      <sz val="10"/>
      <name val="Calibri"/>
      <family val="2"/>
    </font>
    <font>
      <i/>
      <sz val="10"/>
      <color rgb="FF014A69"/>
      <name val="Calibri"/>
      <family val="2"/>
      <scheme val="minor"/>
    </font>
    <font>
      <b/>
      <i/>
      <sz val="10"/>
      <color rgb="FF014A68"/>
      <name val="Calibri"/>
      <family val="2"/>
      <scheme val="minor"/>
    </font>
    <font>
      <b/>
      <sz val="16"/>
      <color rgb="FF014A68"/>
      <name val="Calibri"/>
      <family val="2"/>
      <scheme val="minor"/>
    </font>
    <font>
      <sz val="10"/>
      <color rgb="FF014A69"/>
      <name val="Calibri"/>
      <family val="2"/>
      <scheme val="minor"/>
    </font>
    <font>
      <sz val="10"/>
      <color rgb="FF242729"/>
      <name val="Arial"/>
      <family val="2"/>
    </font>
    <font>
      <sz val="10"/>
      <color rgb="FF000000"/>
      <name val="Verdana"/>
      <family val="2"/>
    </font>
    <font>
      <b/>
      <sz val="20"/>
      <color theme="1"/>
      <name val="Calibri"/>
      <family val="2"/>
      <scheme val="minor"/>
    </font>
    <font>
      <sz val="8"/>
      <color theme="0" tint="-0.499984740745262"/>
      <name val="Calibri"/>
      <family val="2"/>
      <scheme val="minor"/>
    </font>
    <font>
      <b/>
      <sz val="10"/>
      <color theme="0"/>
      <name val="Arial"/>
      <family val="2"/>
    </font>
    <font>
      <sz val="10"/>
      <color theme="1" tint="0.34998626667073579"/>
      <name val="Calibri"/>
      <family val="2"/>
      <scheme val="minor"/>
    </font>
    <font>
      <sz val="10"/>
      <color rgb="FFFF5050"/>
      <name val="Calibri"/>
      <family val="2"/>
      <scheme val="minor"/>
    </font>
    <font>
      <b/>
      <sz val="10"/>
      <color rgb="FFFF5050"/>
      <name val="Calibri"/>
      <family val="2"/>
      <scheme val="minor"/>
    </font>
    <font>
      <b/>
      <sz val="16"/>
      <name val="Calibri"/>
      <family val="2"/>
      <scheme val="minor"/>
    </font>
    <font>
      <b/>
      <sz val="24"/>
      <color rgb="FF014A69"/>
      <name val="Calibri"/>
      <family val="2"/>
      <scheme val="minor"/>
    </font>
    <font>
      <b/>
      <sz val="14"/>
      <color rgb="FF014A69"/>
      <name val="Calibri"/>
      <family val="2"/>
      <scheme val="minor"/>
    </font>
    <font>
      <b/>
      <i/>
      <sz val="10"/>
      <color rgb="FF014A69"/>
      <name val="Calibri"/>
      <family val="2"/>
      <scheme val="minor"/>
    </font>
    <font>
      <sz val="10"/>
      <color rgb="FF333333"/>
      <name val="Calibri"/>
      <family val="2"/>
      <scheme val="minor"/>
    </font>
    <font>
      <b/>
      <sz val="14"/>
      <color theme="0"/>
      <name val="Calibri"/>
      <family val="2"/>
      <scheme val="minor"/>
    </font>
    <font>
      <b/>
      <sz val="10"/>
      <color rgb="FF595959"/>
      <name val="Calibri"/>
      <family val="2"/>
      <scheme val="minor"/>
    </font>
    <font>
      <b/>
      <sz val="12"/>
      <color rgb="FF595959"/>
      <name val="Calibri"/>
      <family val="2"/>
      <scheme val="minor"/>
    </font>
    <font>
      <sz val="10"/>
      <color rgb="FF595959"/>
      <name val="Calibri"/>
      <family val="2"/>
      <scheme val="minor"/>
    </font>
    <font>
      <sz val="11"/>
      <color rgb="FFFF0000"/>
      <name val="Calibri"/>
      <family val="2"/>
      <scheme val="minor"/>
    </font>
    <font>
      <b/>
      <sz val="11"/>
      <color theme="0"/>
      <name val="Calibri"/>
      <family val="2"/>
      <scheme val="minor"/>
    </font>
    <font>
      <b/>
      <sz val="14"/>
      <color theme="9" tint="-0.249977111117893"/>
      <name val="Calibri"/>
      <family val="2"/>
      <scheme val="minor"/>
    </font>
    <font>
      <sz val="11"/>
      <color rgb="FF172B4D"/>
      <name val="Segoe UI"/>
      <family val="2"/>
    </font>
  </fonts>
  <fills count="27">
    <fill>
      <patternFill patternType="none"/>
    </fill>
    <fill>
      <patternFill patternType="gray125"/>
    </fill>
    <fill>
      <patternFill patternType="solid">
        <fgColor rgb="FFD9D9D9"/>
        <bgColor indexed="64"/>
      </patternFill>
    </fill>
    <fill>
      <patternFill patternType="solid">
        <fgColor theme="1"/>
        <bgColor theme="1"/>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rgb="FF80B726"/>
        <bgColor theme="1"/>
      </patternFill>
    </fill>
    <fill>
      <patternFill patternType="solid">
        <fgColor rgb="FFF59601"/>
        <bgColor theme="1"/>
      </patternFill>
    </fill>
    <fill>
      <patternFill patternType="solid">
        <fgColor rgb="FF014A68"/>
        <bgColor theme="1"/>
      </patternFill>
    </fill>
    <fill>
      <patternFill patternType="solid">
        <fgColor rgb="FFF59601"/>
        <bgColor indexed="64"/>
      </patternFill>
    </fill>
    <fill>
      <patternFill patternType="solid">
        <fgColor rgb="FF80B726"/>
        <bgColor indexed="64"/>
      </patternFill>
    </fill>
    <fill>
      <patternFill patternType="solid">
        <fgColor rgb="FF014A68"/>
        <bgColor indexed="64"/>
      </patternFill>
    </fill>
    <fill>
      <patternFill patternType="solid">
        <fgColor theme="4"/>
        <bgColor theme="4"/>
      </patternFill>
    </fill>
    <fill>
      <patternFill patternType="solid">
        <fgColor theme="1"/>
        <bgColor indexed="64"/>
      </patternFill>
    </fill>
    <fill>
      <patternFill patternType="solid">
        <fgColor theme="0"/>
        <bgColor theme="4" tint="0.79998168889431442"/>
      </patternFill>
    </fill>
    <fill>
      <patternFill patternType="solid">
        <fgColor rgb="FF024969"/>
        <bgColor theme="1"/>
      </patternFill>
    </fill>
    <fill>
      <patternFill patternType="solid">
        <fgColor rgb="FF024969"/>
        <bgColor indexed="64"/>
      </patternFill>
    </fill>
    <fill>
      <patternFill patternType="solid">
        <fgColor theme="0"/>
        <bgColor theme="1"/>
      </patternFill>
    </fill>
    <fill>
      <patternFill patternType="solid">
        <fgColor rgb="FF014A69"/>
        <bgColor theme="1"/>
      </patternFill>
    </fill>
    <fill>
      <patternFill patternType="solid">
        <fgColor theme="6"/>
        <bgColor theme="6"/>
      </patternFill>
    </fill>
    <fill>
      <patternFill patternType="solid">
        <fgColor rgb="FFF4EAE4"/>
        <bgColor indexed="64"/>
      </patternFill>
    </fill>
    <fill>
      <patternFill patternType="solid">
        <fgColor theme="0" tint="-0.14999847407452621"/>
        <bgColor theme="4" tint="0.79998168889431442"/>
      </patternFill>
    </fill>
    <fill>
      <patternFill patternType="solid">
        <fgColor rgb="FFF4EAE4"/>
        <bgColor theme="1"/>
      </patternFill>
    </fill>
    <fill>
      <patternFill patternType="solid">
        <fgColor rgb="FF014A69"/>
        <bgColor indexed="64"/>
      </patternFill>
    </fill>
    <fill>
      <patternFill patternType="solid">
        <fgColor rgb="FFFF0000"/>
        <bgColor indexed="64"/>
      </patternFill>
    </fill>
    <fill>
      <patternFill patternType="solid">
        <fgColor theme="4" tint="0.79998168889431442"/>
        <bgColor theme="4" tint="0.79998168889431442"/>
      </patternFill>
    </fill>
  </fills>
  <borders count="20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theme="4" tint="0.39997558519241921"/>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top/>
      <bottom style="medium">
        <color rgb="FF024969"/>
      </bottom>
      <diagonal/>
    </border>
    <border>
      <left/>
      <right/>
      <top/>
      <bottom style="thin">
        <color theme="0" tint="-0.14996795556505021"/>
      </bottom>
      <diagonal/>
    </border>
    <border>
      <left style="thin">
        <color theme="0" tint="-0.24994659260841701"/>
      </left>
      <right/>
      <top style="medium">
        <color rgb="FF024969"/>
      </top>
      <bottom style="thin">
        <color theme="0" tint="-0.14996795556505021"/>
      </bottom>
      <diagonal/>
    </border>
    <border>
      <left/>
      <right/>
      <top style="thin">
        <color theme="0" tint="-0.14996795556505021"/>
      </top>
      <bottom style="thin">
        <color theme="0" tint="-0.14996795556505021"/>
      </bottom>
      <diagonal/>
    </border>
    <border>
      <left style="thin">
        <color theme="0" tint="-0.24994659260841701"/>
      </left>
      <right/>
      <top style="thin">
        <color theme="0" tint="-0.14996795556505021"/>
      </top>
      <bottom style="thin">
        <color theme="0" tint="-0.14996795556505021"/>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thin">
        <color auto="1"/>
      </top>
      <bottom style="thin">
        <color theme="0" tint="-0.24994659260841701"/>
      </bottom>
      <diagonal/>
    </border>
    <border>
      <left/>
      <right/>
      <top style="thin">
        <color theme="0" tint="-0.24994659260841701"/>
      </top>
      <bottom style="thin">
        <color auto="1"/>
      </bottom>
      <diagonal/>
    </border>
    <border>
      <left style="medium">
        <color rgb="FF014A69"/>
      </left>
      <right/>
      <top/>
      <bottom style="medium">
        <color rgb="FF014A69"/>
      </bottom>
      <diagonal/>
    </border>
    <border>
      <left/>
      <right/>
      <top/>
      <bottom style="medium">
        <color rgb="FF014A69"/>
      </bottom>
      <diagonal/>
    </border>
    <border>
      <left style="medium">
        <color rgb="FF014A69"/>
      </left>
      <right/>
      <top style="thin">
        <color theme="0" tint="-0.14996795556505021"/>
      </top>
      <bottom style="medium">
        <color rgb="FF014A69"/>
      </bottom>
      <diagonal/>
    </border>
    <border>
      <left/>
      <right/>
      <top style="thin">
        <color theme="0" tint="-0.14996795556505021"/>
      </top>
      <bottom style="medium">
        <color rgb="FF014A69"/>
      </bottom>
      <diagonal/>
    </border>
    <border>
      <left/>
      <right style="medium">
        <color rgb="FF014A68"/>
      </right>
      <top/>
      <bottom/>
      <diagonal/>
    </border>
    <border>
      <left/>
      <right style="medium">
        <color rgb="FF014A68"/>
      </right>
      <top/>
      <bottom style="thin">
        <color theme="0" tint="-0.14996795556505021"/>
      </bottom>
      <diagonal/>
    </border>
    <border>
      <left style="thin">
        <color theme="6" tint="0.39997558519241921"/>
      </left>
      <right/>
      <top style="thin">
        <color theme="6" tint="0.39997558519241921"/>
      </top>
      <bottom/>
      <diagonal/>
    </border>
    <border>
      <left/>
      <right/>
      <top style="thin">
        <color theme="6" tint="0.39997558519241921"/>
      </top>
      <bottom/>
      <diagonal/>
    </border>
    <border>
      <left/>
      <right/>
      <top style="thin">
        <color theme="6" tint="0.39997558519241921"/>
      </top>
      <bottom style="thin">
        <color theme="6" tint="0.39997558519241921"/>
      </bottom>
      <diagonal/>
    </border>
    <border>
      <left style="thin">
        <color theme="6" tint="0.39997558519241921"/>
      </left>
      <right/>
      <top/>
      <bottom/>
      <diagonal/>
    </border>
    <border>
      <left style="thin">
        <color theme="4" tint="0.39997558519241921"/>
      </left>
      <right/>
      <top/>
      <bottom/>
      <diagonal/>
    </border>
    <border>
      <left/>
      <right style="medium">
        <color rgb="FF014A68"/>
      </right>
      <top style="thin">
        <color theme="0" tint="-0.14996795556505021"/>
      </top>
      <bottom style="thin">
        <color theme="0" tint="-0.1499679555650502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top/>
      <bottom/>
      <diagonal/>
    </border>
    <border>
      <left style="medium">
        <color auto="1"/>
      </left>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rgb="FF014A68"/>
      </left>
      <right style="medium">
        <color rgb="FF014A68"/>
      </right>
      <top style="medium">
        <color rgb="FF014A68"/>
      </top>
      <bottom style="medium">
        <color rgb="FF014A68"/>
      </bottom>
      <diagonal/>
    </border>
    <border>
      <left style="medium">
        <color rgb="FF014A69"/>
      </left>
      <right style="thin">
        <color theme="0" tint="-0.24994659260841701"/>
      </right>
      <top style="thin">
        <color theme="0" tint="-0.24994659260841701"/>
      </top>
      <bottom style="thin">
        <color theme="0" tint="-0.24994659260841701"/>
      </bottom>
      <diagonal/>
    </border>
    <border>
      <left style="medium">
        <color rgb="FF014A69"/>
      </left>
      <right style="thin">
        <color theme="0" tint="-0.24994659260841701"/>
      </right>
      <top style="thin">
        <color theme="0" tint="-0.24994659260841701"/>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auto="1"/>
      </left>
      <right/>
      <top style="thin">
        <color auto="1"/>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9" tint="0.39997558519241921"/>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80B726"/>
      </left>
      <right style="medium">
        <color rgb="FFF59601"/>
      </right>
      <top style="thin">
        <color theme="0" tint="-0.499984740745262"/>
      </top>
      <bottom/>
      <diagonal/>
    </border>
    <border>
      <left style="thin">
        <color theme="1"/>
      </left>
      <right/>
      <top style="thin">
        <color theme="4" tint="0.39997558519241921"/>
      </top>
      <bottom style="thin">
        <color auto="1"/>
      </bottom>
      <diagonal/>
    </border>
    <border>
      <left/>
      <right/>
      <top style="thin">
        <color theme="4" tint="0.39997558519241921"/>
      </top>
      <bottom style="thin">
        <color auto="1"/>
      </bottom>
      <diagonal/>
    </border>
    <border>
      <left/>
      <right style="thin">
        <color theme="4" tint="0.39997558519241921"/>
      </right>
      <top style="thin">
        <color theme="4" tint="0.39997558519241921"/>
      </top>
      <bottom style="thin">
        <color auto="1"/>
      </bottom>
      <diagonal/>
    </border>
    <border>
      <left style="medium">
        <color theme="1"/>
      </left>
      <right/>
      <top style="thin">
        <color theme="4" tint="0.39997558519241921"/>
      </top>
      <bottom/>
      <diagonal/>
    </border>
    <border>
      <left/>
      <right/>
      <top style="thin">
        <color theme="4" tint="0.39997558519241921"/>
      </top>
      <bottom/>
      <diagonal/>
    </border>
    <border>
      <left style="thin">
        <color theme="1"/>
      </left>
      <right/>
      <top style="thin">
        <color theme="4" tint="0.39997558519241921"/>
      </top>
      <bottom/>
      <diagonal/>
    </border>
    <border>
      <left style="thin">
        <color theme="0" tint="-0.499984740745262"/>
      </left>
      <right/>
      <top style="medium">
        <color theme="1"/>
      </top>
      <bottom/>
      <diagonal/>
    </border>
    <border>
      <left style="thin">
        <color theme="0" tint="-0.499984740745262"/>
      </left>
      <right/>
      <top style="thin">
        <color rgb="FF014A68"/>
      </top>
      <bottom/>
      <diagonal/>
    </border>
    <border>
      <left style="thin">
        <color theme="0" tint="-0.499984740745262"/>
      </left>
      <right/>
      <top style="thin">
        <color theme="4" tint="0.39997558519241921"/>
      </top>
      <bottom/>
      <diagonal/>
    </border>
    <border>
      <left style="thin">
        <color theme="0" tint="-0.499984740745262"/>
      </left>
      <right/>
      <top style="thin">
        <color theme="0" tint="-0.499984740745262"/>
      </top>
      <bottom/>
      <diagonal/>
    </border>
    <border>
      <left/>
      <right/>
      <top style="thin">
        <color auto="1"/>
      </top>
      <bottom style="thin">
        <color theme="4" tint="0.39997558519241921"/>
      </bottom>
      <diagonal/>
    </border>
    <border>
      <left/>
      <right style="thin">
        <color auto="1"/>
      </right>
      <top style="thin">
        <color auto="1"/>
      </top>
      <bottom style="thin">
        <color theme="4" tint="0.39997558519241921"/>
      </bottom>
      <diagonal/>
    </border>
    <border>
      <left/>
      <right style="thin">
        <color theme="0" tint="-0.499984740745262"/>
      </right>
      <top style="thin">
        <color theme="4" tint="0.39997558519241921"/>
      </top>
      <bottom style="thin">
        <color theme="0" tint="-0.499984740745262"/>
      </bottom>
      <diagonal/>
    </border>
    <border>
      <left/>
      <right/>
      <top style="thin">
        <color theme="4" tint="0.39997558519241921"/>
      </top>
      <bottom style="thin">
        <color theme="0" tint="-0.499984740745262"/>
      </bottom>
      <diagonal/>
    </border>
    <border>
      <left style="medium">
        <color rgb="FF014A68"/>
      </left>
      <right/>
      <top style="medium">
        <color rgb="FF014A68"/>
      </top>
      <bottom/>
      <diagonal/>
    </border>
    <border>
      <left style="medium">
        <color rgb="FF014A68"/>
      </left>
      <right/>
      <top style="medium">
        <color rgb="FF80B726"/>
      </top>
      <bottom/>
      <diagonal/>
    </border>
    <border>
      <left style="medium">
        <color rgb="FF80B726"/>
      </left>
      <right style="medium">
        <color rgb="FFF59601"/>
      </right>
      <top style="medium">
        <color rgb="FFF59601"/>
      </top>
      <bottom/>
      <diagonal/>
    </border>
    <border>
      <left style="thin">
        <color theme="0" tint="-0.499984740745262"/>
      </left>
      <right/>
      <top style="medium">
        <color rgb="FF014A68"/>
      </top>
      <bottom/>
      <diagonal/>
    </border>
    <border>
      <left style="medium">
        <color rgb="FF014A69"/>
      </left>
      <right/>
      <top style="medium">
        <color rgb="FF80B726"/>
      </top>
      <bottom/>
      <diagonal/>
    </border>
    <border>
      <left style="medium">
        <color rgb="FF014A68"/>
      </left>
      <right/>
      <top style="thin">
        <color theme="0" tint="-0.499984740745262"/>
      </top>
      <bottom/>
      <diagonal/>
    </border>
    <border>
      <left style="thin">
        <color auto="1"/>
      </left>
      <right/>
      <top style="thin">
        <color theme="0" tint="-0.499984740745262"/>
      </top>
      <bottom/>
      <diagonal/>
    </border>
    <border>
      <left style="medium">
        <color rgb="FF014A69"/>
      </left>
      <right/>
      <top style="thin">
        <color theme="0" tint="-0.499984740745262"/>
      </top>
      <bottom/>
      <diagonal/>
    </border>
    <border>
      <left style="medium">
        <color rgb="FF014A69"/>
      </left>
      <right/>
      <top style="medium">
        <color rgb="FF014A68"/>
      </top>
      <bottom/>
      <diagonal/>
    </border>
    <border>
      <left style="medium">
        <color rgb="FF80B726"/>
      </left>
      <right style="medium">
        <color rgb="FFF59601"/>
      </right>
      <top style="medium">
        <color rgb="FF014A68"/>
      </top>
      <bottom/>
      <diagonal/>
    </border>
    <border>
      <left style="medium">
        <color rgb="FF014A68"/>
      </left>
      <right/>
      <top style="medium">
        <color rgb="FF014A68"/>
      </top>
      <bottom style="medium">
        <color rgb="FF014A68"/>
      </bottom>
      <diagonal/>
    </border>
    <border>
      <left style="thin">
        <color theme="0" tint="-0.499984740745262"/>
      </left>
      <right/>
      <top style="medium">
        <color rgb="FF014A68"/>
      </top>
      <bottom style="medium">
        <color rgb="FF014A68"/>
      </bottom>
      <diagonal/>
    </border>
    <border>
      <left style="medium">
        <color rgb="FF014A69"/>
      </left>
      <right style="medium">
        <color rgb="FF80B726"/>
      </right>
      <top style="medium">
        <color rgb="FF014A68"/>
      </top>
      <bottom style="medium">
        <color rgb="FF80B726"/>
      </bottom>
      <diagonal/>
    </border>
    <border>
      <left style="medium">
        <color rgb="FF80B726"/>
      </left>
      <right style="medium">
        <color rgb="FFF59601"/>
      </right>
      <top style="medium">
        <color rgb="FF014A68"/>
      </top>
      <bottom style="medium">
        <color rgb="FFF59601"/>
      </bottom>
      <diagonal/>
    </border>
    <border>
      <left style="thin">
        <color theme="0" tint="-0.499984740745262"/>
      </left>
      <right/>
      <top style="thin">
        <color theme="4" tint="0.39997558519241921"/>
      </top>
      <bottom style="thin">
        <color theme="0" tint="-0.499984740745262"/>
      </bottom>
      <diagonal/>
    </border>
    <border>
      <left style="thin">
        <color theme="0" tint="-0.499984740745262"/>
      </left>
      <right/>
      <top style="thin">
        <color auto="1"/>
      </top>
      <bottom style="thin">
        <color theme="0" tint="-0.499984740745262"/>
      </bottom>
      <diagonal/>
    </border>
    <border>
      <left/>
      <right/>
      <top style="thin">
        <color auto="1"/>
      </top>
      <bottom style="thin">
        <color theme="0" tint="-0.499984740745262"/>
      </bottom>
      <diagonal/>
    </border>
    <border>
      <left/>
      <right style="thin">
        <color theme="0" tint="-0.499984740745262"/>
      </right>
      <top style="thin">
        <color auto="1"/>
      </top>
      <bottom style="thin">
        <color theme="0" tint="-0.499984740745262"/>
      </bottom>
      <diagonal/>
    </border>
    <border>
      <left style="thin">
        <color theme="0" tint="-0.499984740745262"/>
      </left>
      <right style="thin">
        <color theme="0" tint="-0.499984740745262"/>
      </right>
      <top style="medium">
        <color rgb="FF014A68"/>
      </top>
      <bottom style="medium">
        <color rgb="FF014A68"/>
      </bottom>
      <diagonal/>
    </border>
    <border>
      <left/>
      <right/>
      <top style="thin">
        <color theme="0" tint="-0.499984740745262"/>
      </top>
      <bottom/>
      <diagonal/>
    </border>
    <border>
      <left style="thin">
        <color theme="0" tint="-0.499984740745262"/>
      </left>
      <right style="thin">
        <color theme="0" tint="-0.499984740745262"/>
      </right>
      <top style="medium">
        <color rgb="FF014A68"/>
      </top>
      <bottom/>
      <diagonal/>
    </border>
    <border>
      <left style="thin">
        <color theme="0" tint="-0.499984740745262"/>
      </left>
      <right style="thin">
        <color theme="0" tint="-0.499984740745262"/>
      </right>
      <top style="thin">
        <color theme="0" tint="-0.499984740745262"/>
      </top>
      <bottom/>
      <diagonal/>
    </border>
    <border>
      <left style="medium">
        <color rgb="FF014A69"/>
      </left>
      <right/>
      <top/>
      <bottom/>
      <diagonal/>
    </border>
    <border>
      <left style="medium">
        <color rgb="FF014A69"/>
      </left>
      <right/>
      <top/>
      <bottom style="medium">
        <color rgb="FF024969"/>
      </bottom>
      <diagonal/>
    </border>
    <border>
      <left style="medium">
        <color rgb="FF014A69"/>
      </left>
      <right/>
      <top/>
      <bottom style="thin">
        <color theme="0" tint="-0.14996795556505021"/>
      </bottom>
      <diagonal/>
    </border>
    <border>
      <left/>
      <right/>
      <top style="thin">
        <color theme="0" tint="-0.34998626667073579"/>
      </top>
      <bottom style="medium">
        <color rgb="FF014A69"/>
      </bottom>
      <diagonal/>
    </border>
    <border>
      <left style="medium">
        <color rgb="FF014A68"/>
      </left>
      <right/>
      <top style="thin">
        <color theme="0" tint="-0.499984740745262"/>
      </top>
      <bottom style="thin">
        <color theme="0" tint="-0.499984740745262"/>
      </bottom>
      <diagonal/>
    </border>
    <border>
      <left style="medium">
        <color rgb="FF014A69"/>
      </left>
      <right/>
      <top style="thin">
        <color theme="0" tint="-0.499984740745262"/>
      </top>
      <bottom style="thin">
        <color theme="0" tint="-0.499984740745262"/>
      </bottom>
      <diagonal/>
    </border>
    <border>
      <left style="medium">
        <color rgb="FF80B726"/>
      </left>
      <right style="medium">
        <color rgb="FFF59601"/>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rgb="FF014A69"/>
      </left>
      <right style="thin">
        <color theme="0" tint="-0.499984740745262"/>
      </right>
      <top style="medium">
        <color rgb="FF014A69"/>
      </top>
      <bottom style="thin">
        <color theme="0" tint="-0.499984740745262"/>
      </bottom>
      <diagonal/>
    </border>
    <border>
      <left style="thin">
        <color theme="0" tint="-0.499984740745262"/>
      </left>
      <right style="thin">
        <color theme="0" tint="-0.499984740745262"/>
      </right>
      <top style="medium">
        <color rgb="FF014A69"/>
      </top>
      <bottom style="thin">
        <color theme="0" tint="-0.499984740745262"/>
      </bottom>
      <diagonal/>
    </border>
    <border>
      <left style="thin">
        <color theme="0" tint="-0.499984740745262"/>
      </left>
      <right style="medium">
        <color rgb="FF014A69"/>
      </right>
      <top style="medium">
        <color rgb="FF014A69"/>
      </top>
      <bottom style="thin">
        <color theme="0" tint="-0.499984740745262"/>
      </bottom>
      <diagonal/>
    </border>
    <border>
      <left style="medium">
        <color rgb="FF014A69"/>
      </left>
      <right style="thin">
        <color theme="0" tint="-0.499984740745262"/>
      </right>
      <top style="thin">
        <color theme="0" tint="-0.499984740745262"/>
      </top>
      <bottom style="thin">
        <color theme="0" tint="-0.499984740745262"/>
      </bottom>
      <diagonal/>
    </border>
    <border>
      <left style="thin">
        <color theme="0" tint="-0.499984740745262"/>
      </left>
      <right style="medium">
        <color rgb="FF014A69"/>
      </right>
      <top style="thin">
        <color theme="0" tint="-0.499984740745262"/>
      </top>
      <bottom style="thin">
        <color theme="0" tint="-0.499984740745262"/>
      </bottom>
      <diagonal/>
    </border>
    <border>
      <left style="medium">
        <color rgb="FF014A69"/>
      </left>
      <right style="thin">
        <color theme="0" tint="-0.499984740745262"/>
      </right>
      <top style="thin">
        <color theme="0" tint="-0.499984740745262"/>
      </top>
      <bottom style="medium">
        <color theme="0" tint="-0.499984740745262"/>
      </bottom>
      <diagonal/>
    </border>
    <border>
      <left style="medium">
        <color rgb="FF014A69"/>
      </left>
      <right style="thin">
        <color theme="0" tint="-0.499984740745262"/>
      </right>
      <top style="medium">
        <color theme="0" tint="-0.499984740745262"/>
      </top>
      <bottom style="thin">
        <color theme="0" tint="-0.499984740745262"/>
      </bottom>
      <diagonal/>
    </border>
    <border>
      <left style="thin">
        <color theme="0" tint="-0.499984740745262"/>
      </left>
      <right style="medium">
        <color rgb="FF014A69"/>
      </right>
      <top style="medium">
        <color theme="0" tint="-0.499984740745262"/>
      </top>
      <bottom style="thin">
        <color theme="0" tint="-0.499984740745262"/>
      </bottom>
      <diagonal/>
    </border>
    <border>
      <left style="medium">
        <color rgb="FF014A69"/>
      </left>
      <right style="thin">
        <color theme="0" tint="-0.499984740745262"/>
      </right>
      <top style="medium">
        <color theme="0" tint="-0.499984740745262"/>
      </top>
      <bottom style="medium">
        <color rgb="FF014A69"/>
      </bottom>
      <diagonal/>
    </border>
    <border>
      <left style="thin">
        <color theme="0" tint="-0.499984740745262"/>
      </left>
      <right style="thin">
        <color theme="0" tint="-0.499984740745262"/>
      </right>
      <top style="medium">
        <color theme="0" tint="-0.499984740745262"/>
      </top>
      <bottom style="medium">
        <color rgb="FF014A69"/>
      </bottom>
      <diagonal/>
    </border>
    <border>
      <left style="thin">
        <color theme="0" tint="-0.499984740745262"/>
      </left>
      <right style="medium">
        <color rgb="FF014A69"/>
      </right>
      <top style="medium">
        <color theme="0" tint="-0.499984740745262"/>
      </top>
      <bottom style="medium">
        <color rgb="FF014A69"/>
      </bottom>
      <diagonal/>
    </border>
    <border>
      <left style="thin">
        <color theme="4" tint="0.39994506668294322"/>
      </left>
      <right/>
      <top/>
      <bottom style="thin">
        <color theme="4" tint="0.39997558519241921"/>
      </bottom>
      <diagonal/>
    </border>
    <border>
      <left/>
      <right style="thin">
        <color theme="4" tint="0.39994506668294322"/>
      </right>
      <top/>
      <bottom style="thin">
        <color theme="4" tint="0.39997558519241921"/>
      </bottom>
      <diagonal/>
    </border>
    <border>
      <left style="thin">
        <color theme="4" tint="0.39994506668294322"/>
      </left>
      <right/>
      <top style="thin">
        <color theme="4" tint="0.39997558519241921"/>
      </top>
      <bottom style="thin">
        <color rgb="FF014A68"/>
      </bottom>
      <diagonal/>
    </border>
    <border>
      <left/>
      <right/>
      <top style="thin">
        <color theme="4" tint="0.39997558519241921"/>
      </top>
      <bottom style="thin">
        <color rgb="FF014A68"/>
      </bottom>
      <diagonal/>
    </border>
    <border>
      <left/>
      <right style="thin">
        <color theme="4" tint="0.39994506668294322"/>
      </right>
      <top style="thin">
        <color theme="4" tint="0.39997558519241921"/>
      </top>
      <bottom style="thin">
        <color rgb="FF014A68"/>
      </bottom>
      <diagonal/>
    </border>
    <border>
      <left/>
      <right/>
      <top style="thin">
        <color theme="4" tint="0.39994506668294322"/>
      </top>
      <bottom style="thin">
        <color theme="4" tint="0.39997558519241921"/>
      </bottom>
      <diagonal/>
    </border>
    <border>
      <left/>
      <right/>
      <top/>
      <bottom style="thin">
        <color theme="4" tint="0.39994506668294322"/>
      </bottom>
      <diagonal/>
    </border>
    <border>
      <left/>
      <right style="thin">
        <color rgb="FF95B3D7"/>
      </right>
      <top/>
      <bottom style="thin">
        <color theme="4" tint="0.39994506668294322"/>
      </bottom>
      <diagonal/>
    </border>
    <border>
      <left style="thin">
        <color rgb="FF95B3D7"/>
      </left>
      <right/>
      <top/>
      <bottom style="thin">
        <color rgb="FF95B3D7"/>
      </bottom>
      <diagonal/>
    </border>
    <border>
      <left/>
      <right/>
      <top/>
      <bottom style="thin">
        <color rgb="FF95B3D7"/>
      </bottom>
      <diagonal/>
    </border>
    <border>
      <left/>
      <right/>
      <top style="medium">
        <color rgb="FF024969"/>
      </top>
      <bottom style="thin">
        <color theme="0" tint="-0.14996795556505021"/>
      </bottom>
      <diagonal/>
    </border>
    <border>
      <left/>
      <right style="medium">
        <color rgb="FF014A69"/>
      </right>
      <top style="thin">
        <color theme="0" tint="-0.24994659260841701"/>
      </top>
      <bottom style="thin">
        <color theme="0" tint="-0.24994659260841701"/>
      </bottom>
      <diagonal/>
    </border>
    <border>
      <left style="medium">
        <color rgb="FF014A69"/>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medium">
        <color rgb="FF014A69"/>
      </top>
      <bottom style="thin">
        <color theme="0" tint="-0.24994659260841701"/>
      </bottom>
      <diagonal/>
    </border>
    <border>
      <left/>
      <right/>
      <top style="medium">
        <color rgb="FF014A69"/>
      </top>
      <bottom style="thin">
        <color theme="0" tint="-0.24994659260841701"/>
      </bottom>
      <diagonal/>
    </border>
    <border>
      <left style="medium">
        <color rgb="FF014A69"/>
      </left>
      <right/>
      <top style="medium">
        <color rgb="FF014A69"/>
      </top>
      <bottom style="thin">
        <color theme="0" tint="-0.24994659260841701"/>
      </bottom>
      <diagonal/>
    </border>
    <border>
      <left/>
      <right style="medium">
        <color rgb="FF014A69"/>
      </right>
      <top style="medium">
        <color rgb="FF014A69"/>
      </top>
      <bottom style="thin">
        <color theme="0" tint="-0.24994659260841701"/>
      </bottom>
      <diagonal/>
    </border>
    <border>
      <left style="thin">
        <color theme="0" tint="-0.499984740745262"/>
      </left>
      <right style="thin">
        <color theme="0" tint="-0.499984740745262"/>
      </right>
      <top style="thin">
        <color theme="4" tint="0.39997558519241921"/>
      </top>
      <bottom style="thin">
        <color theme="0" tint="-0.499984740745262"/>
      </bottom>
      <diagonal/>
    </border>
    <border>
      <left style="thin">
        <color theme="0" tint="-0.499984740745262"/>
      </left>
      <right style="thin">
        <color theme="0" tint="-0.499984740745262"/>
      </right>
      <top style="thin">
        <color rgb="FF014A68"/>
      </top>
      <bottom style="thin">
        <color theme="0" tint="-0.499984740745262"/>
      </bottom>
      <diagonal/>
    </border>
    <border>
      <left style="thin">
        <color theme="4" tint="0.39994506668294322"/>
      </left>
      <right style="thin">
        <color theme="4" tint="0.39991454817346722"/>
      </right>
      <top/>
      <bottom style="thin">
        <color theme="4" tint="0.39997558519241921"/>
      </bottom>
      <diagonal/>
    </border>
    <border>
      <left style="thin">
        <color theme="4" tint="0.39994506668294322"/>
      </left>
      <right style="thin">
        <color theme="4" tint="0.39991454817346722"/>
      </right>
      <top style="thin">
        <color theme="4" tint="0.39997558519241921"/>
      </top>
      <bottom style="thin">
        <color rgb="FF014A68"/>
      </bottom>
      <diagonal/>
    </border>
    <border>
      <left style="thin">
        <color theme="4" tint="0.39991454817346722"/>
      </left>
      <right/>
      <top/>
      <bottom style="thin">
        <color theme="4" tint="0.39997558519241921"/>
      </bottom>
      <diagonal/>
    </border>
    <border>
      <left style="thin">
        <color theme="4" tint="0.39991454817346722"/>
      </left>
      <right/>
      <top style="thin">
        <color theme="4" tint="0.39997558519241921"/>
      </top>
      <bottom style="thin">
        <color theme="4" tint="0.39988402966399123"/>
      </bottom>
      <diagonal/>
    </border>
    <border>
      <left style="thin">
        <color theme="0" tint="-0.499984740745262"/>
      </left>
      <right/>
      <top/>
      <bottom/>
      <diagonal/>
    </border>
    <border>
      <left/>
      <right style="thin">
        <color theme="1"/>
      </right>
      <top style="thin">
        <color theme="4" tint="0.39997558519241921"/>
      </top>
      <bottom style="thin">
        <color indexed="64"/>
      </bottom>
      <diagonal/>
    </border>
    <border>
      <left style="thin">
        <color theme="0" tint="-0.499984740745262"/>
      </left>
      <right style="thin">
        <color theme="0" tint="-0.499984740745262"/>
      </right>
      <top style="thin">
        <color indexed="64"/>
      </top>
      <bottom style="thin">
        <color theme="0" tint="-0.499984740745262"/>
      </bottom>
      <diagonal/>
    </border>
    <border>
      <left/>
      <right style="medium">
        <color rgb="FF014A69"/>
      </right>
      <top/>
      <bottom style="thin">
        <color theme="0" tint="-0.24994659260841701"/>
      </bottom>
      <diagonal/>
    </border>
    <border>
      <left/>
      <right style="medium">
        <color rgb="FF014A69"/>
      </right>
      <top style="thin">
        <color theme="0" tint="-0.24994659260841701"/>
      </top>
      <bottom/>
      <diagonal/>
    </border>
    <border>
      <left/>
      <right/>
      <top style="thin">
        <color theme="0" tint="-0.14996795556505021"/>
      </top>
      <bottom/>
      <diagonal/>
    </border>
    <border>
      <left style="medium">
        <color rgb="FF014A69"/>
      </left>
      <right/>
      <top style="thin">
        <color theme="0" tint="-0.24994659260841701"/>
      </top>
      <bottom/>
      <diagonal/>
    </border>
    <border>
      <left style="medium">
        <color rgb="FF014A69"/>
      </left>
      <right/>
      <top/>
      <bottom style="thin">
        <color theme="0" tint="-0.24994659260841701"/>
      </bottom>
      <diagonal/>
    </border>
    <border>
      <left style="thin">
        <color theme="0" tint="-0.24994659260841701"/>
      </left>
      <right/>
      <top style="medium">
        <color rgb="FF024969"/>
      </top>
      <bottom style="thin">
        <color theme="0" tint="-0.24994659260841701"/>
      </bottom>
      <diagonal/>
    </border>
    <border>
      <left style="thin">
        <color theme="0" tint="-0.24994659260841701"/>
      </left>
      <right/>
      <top style="thin">
        <color theme="0" tint="-0.24994659260841701"/>
      </top>
      <bottom style="thin">
        <color theme="0" tint="-0.14996795556505021"/>
      </bottom>
      <diagonal/>
    </border>
    <border>
      <left style="thin">
        <color auto="1"/>
      </left>
      <right style="thin">
        <color theme="0" tint="-0.499984740745262"/>
      </right>
      <top style="medium">
        <color rgb="FF014A68"/>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medium">
        <color rgb="FF014A68"/>
      </bottom>
      <diagonal/>
    </border>
    <border>
      <left style="thin">
        <color auto="1"/>
      </left>
      <right style="thin">
        <color theme="0" tint="-0.499984740745262"/>
      </right>
      <top style="medium">
        <color rgb="FF014A69"/>
      </top>
      <bottom style="medium">
        <color rgb="FF014A69"/>
      </bottom>
      <diagonal/>
    </border>
    <border>
      <left style="thin">
        <color auto="1"/>
      </left>
      <right/>
      <top/>
      <bottom/>
      <diagonal/>
    </border>
    <border>
      <left style="thin">
        <color auto="1"/>
      </left>
      <right style="thin">
        <color theme="0" tint="-0.499984740745262"/>
      </right>
      <top style="medium">
        <color rgb="FF014A69"/>
      </top>
      <bottom style="thin">
        <color theme="0" tint="-0.499984740745262"/>
      </bottom>
      <diagonal/>
    </border>
    <border>
      <left style="thin">
        <color auto="1"/>
      </left>
      <right style="thin">
        <color theme="0" tint="-0.499984740745262"/>
      </right>
      <top style="thin">
        <color theme="0" tint="-0.499984740745262"/>
      </top>
      <bottom style="medium">
        <color rgb="FF014A69"/>
      </bottom>
      <diagonal/>
    </border>
    <border>
      <left style="medium">
        <color rgb="FF014A69"/>
      </left>
      <right/>
      <top style="medium">
        <color rgb="FF014A69"/>
      </top>
      <bottom/>
      <diagonal/>
    </border>
    <border>
      <left/>
      <right/>
      <top style="medium">
        <color rgb="FF014A69"/>
      </top>
      <bottom/>
      <diagonal/>
    </border>
    <border>
      <left/>
      <right style="medium">
        <color rgb="FF014A69"/>
      </right>
      <top style="medium">
        <color rgb="FF014A69"/>
      </top>
      <bottom/>
      <diagonal/>
    </border>
    <border>
      <left style="thin">
        <color theme="0" tint="-0.499984740745262"/>
      </left>
      <right/>
      <top style="thin">
        <color theme="0" tint="-0.499984740745262"/>
      </top>
      <bottom style="medium">
        <color rgb="FF014A68"/>
      </bottom>
      <diagonal/>
    </border>
    <border>
      <left/>
      <right/>
      <top style="thin">
        <color theme="0" tint="-0.499984740745262"/>
      </top>
      <bottom style="medium">
        <color rgb="FF014A69"/>
      </bottom>
      <diagonal/>
    </border>
    <border>
      <left style="thin">
        <color theme="0" tint="-0.499984740745262"/>
      </left>
      <right style="medium">
        <color rgb="FF014A69"/>
      </right>
      <top style="thin">
        <color theme="0" tint="-0.499984740745262"/>
      </top>
      <bottom style="medium">
        <color rgb="FF014A69"/>
      </bottom>
      <diagonal/>
    </border>
    <border>
      <left style="thin">
        <color theme="0" tint="-0.499984740745262"/>
      </left>
      <right style="medium">
        <color rgb="FF014A69"/>
      </right>
      <top style="medium">
        <color rgb="FF014A69"/>
      </top>
      <bottom style="medium">
        <color rgb="FF014A69"/>
      </bottom>
      <diagonal/>
    </border>
    <border>
      <left/>
      <right/>
      <top style="medium">
        <color rgb="FF014A69"/>
      </top>
      <bottom style="medium">
        <color rgb="FF014A69"/>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style="medium">
        <color rgb="FF014A69"/>
      </right>
      <top/>
      <bottom style="thin">
        <color theme="0" tint="-0.499984740745262"/>
      </bottom>
      <diagonal/>
    </border>
    <border>
      <left style="thin">
        <color theme="0" tint="-0.499984740745262"/>
      </left>
      <right/>
      <top style="thin">
        <color theme="0" tint="-0.499984740745262"/>
      </top>
      <bottom style="medium">
        <color rgb="FF014A69"/>
      </bottom>
      <diagonal/>
    </border>
    <border>
      <left style="medium">
        <color rgb="FF80B726"/>
      </left>
      <right style="medium">
        <color rgb="FFF59601"/>
      </right>
      <top style="thin">
        <color theme="0" tint="-0.499984740745262"/>
      </top>
      <bottom style="medium">
        <color rgb="FF014A69"/>
      </bottom>
      <diagonal/>
    </border>
    <border>
      <left/>
      <right/>
      <top style="thin">
        <color theme="4" tint="0.39997558519241921"/>
      </top>
      <bottom style="thin">
        <color theme="4" tint="0.39997558519241921"/>
      </bottom>
      <diagonal/>
    </border>
    <border>
      <left/>
      <right/>
      <top style="medium">
        <color rgb="FF014A68"/>
      </top>
      <bottom/>
      <diagonal/>
    </border>
    <border>
      <left style="medium">
        <color rgb="FF014A68"/>
      </left>
      <right style="medium">
        <color rgb="FF80B726"/>
      </right>
      <top style="thin">
        <color theme="0" tint="-0.499984740745262"/>
      </top>
      <bottom style="thin">
        <color theme="0" tint="-0.499984740745262"/>
      </bottom>
      <diagonal/>
    </border>
    <border>
      <left style="medium">
        <color rgb="FF014A68"/>
      </left>
      <right style="medium">
        <color rgb="FF80B726"/>
      </right>
      <top style="thin">
        <color theme="0" tint="-0.499984740745262"/>
      </top>
      <bottom style="medium">
        <color rgb="FF014A69"/>
      </bottom>
      <diagonal/>
    </border>
    <border>
      <left style="medium">
        <color rgb="FF80B726"/>
      </left>
      <right style="medium">
        <color rgb="FFF59601"/>
      </right>
      <top style="medium">
        <color rgb="FF014A69"/>
      </top>
      <bottom style="thin">
        <color theme="0" tint="-0.499984740745262"/>
      </bottom>
      <diagonal/>
    </border>
    <border>
      <left style="medium">
        <color rgb="FF80B726"/>
      </left>
      <right style="medium">
        <color rgb="FFF59601"/>
      </right>
      <top style="thin">
        <color theme="0" tint="-0.499984740745262"/>
      </top>
      <bottom style="medium">
        <color rgb="FF014A68"/>
      </bottom>
      <diagonal/>
    </border>
    <border>
      <left/>
      <right style="medium">
        <color rgb="FF80B726"/>
      </right>
      <top style="medium">
        <color rgb="FF014A68"/>
      </top>
      <bottom style="medium">
        <color rgb="FF80B726"/>
      </bottom>
      <diagonal/>
    </border>
    <border>
      <left style="thin">
        <color auto="1"/>
      </left>
      <right style="thin">
        <color auto="1"/>
      </right>
      <top style="medium">
        <color rgb="FF014A68"/>
      </top>
      <bottom style="medium">
        <color rgb="FF014A68"/>
      </bottom>
      <diagonal/>
    </border>
    <border>
      <left/>
      <right/>
      <top style="medium">
        <color rgb="FF014A68"/>
      </top>
      <bottom style="medium">
        <color rgb="FF014A68"/>
      </bottom>
      <diagonal/>
    </border>
    <border>
      <left style="thin">
        <color auto="1"/>
      </left>
      <right style="thin">
        <color auto="1"/>
      </right>
      <top style="medium">
        <color rgb="FF014A68"/>
      </top>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diagonal/>
    </border>
    <border>
      <left style="thin">
        <color theme="0" tint="-0.499984740745262"/>
      </left>
      <right/>
      <top style="thin">
        <color theme="0" tint="-0.499984740745262"/>
      </top>
      <bottom style="medium">
        <color theme="0" tint="-0.499984740745262"/>
      </bottom>
      <diagonal/>
    </border>
    <border>
      <left/>
      <right style="medium">
        <color rgb="FF014A69"/>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right style="medium">
        <color rgb="FF014A69"/>
      </right>
      <top style="medium">
        <color theme="0" tint="-0.499984740745262"/>
      </top>
      <bottom style="thin">
        <color theme="0" tint="-0.499984740745262"/>
      </bottom>
      <diagonal/>
    </border>
    <border>
      <left/>
      <right style="medium">
        <color rgb="FF014A69"/>
      </right>
      <top style="thin">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right style="thin">
        <color theme="0" tint="-0.499984740745262"/>
      </right>
      <top style="medium">
        <color theme="0" tint="-0.499984740745262"/>
      </top>
      <bottom style="thin">
        <color theme="0" tint="-0.499984740745262"/>
      </bottom>
      <diagonal/>
    </border>
    <border>
      <left style="medium">
        <color rgb="FF014A68"/>
      </left>
      <right style="medium">
        <color rgb="FF80B726"/>
      </right>
      <top style="medium">
        <color rgb="FF80B726"/>
      </top>
      <bottom style="medium">
        <color rgb="FF80B726"/>
      </bottom>
      <diagonal/>
    </border>
    <border>
      <left style="medium">
        <color rgb="FF014A68"/>
      </left>
      <right style="medium">
        <color rgb="FF80B726"/>
      </right>
      <top/>
      <bottom/>
      <diagonal/>
    </border>
    <border>
      <left style="medium">
        <color rgb="FF80B726"/>
      </left>
      <right style="medium">
        <color rgb="FFF59601"/>
      </right>
      <top style="medium">
        <color rgb="FFF59601"/>
      </top>
      <bottom style="medium">
        <color rgb="FFF59601"/>
      </bottom>
      <diagonal/>
    </border>
    <border>
      <left style="medium">
        <color rgb="FF80B726"/>
      </left>
      <right style="medium">
        <color rgb="FFF59601"/>
      </right>
      <top/>
      <bottom/>
      <diagonal/>
    </border>
    <border>
      <left style="thin">
        <color theme="0" tint="-0.499984740745262"/>
      </left>
      <right/>
      <top style="medium">
        <color rgb="FF014A69"/>
      </top>
      <bottom style="thin">
        <color theme="0" tint="-0.499984740745262"/>
      </bottom>
      <diagonal/>
    </border>
    <border>
      <left/>
      <right style="thin">
        <color theme="0" tint="-0.499984740745262"/>
      </right>
      <top style="medium">
        <color rgb="FF014A69"/>
      </top>
      <bottom style="thin">
        <color theme="0" tint="-0.499984740745262"/>
      </bottom>
      <diagonal/>
    </border>
    <border>
      <left style="thin">
        <color theme="0" tint="-0.499984740745262"/>
      </left>
      <right style="thin">
        <color theme="0" tint="-0.499984740745262"/>
      </right>
      <top style="thin">
        <color theme="0" tint="-0.499984740745262"/>
      </top>
      <bottom style="medium">
        <color rgb="FF014A68"/>
      </bottom>
      <diagonal/>
    </border>
    <border>
      <left style="thin">
        <color theme="0" tint="-0.499984740745262"/>
      </left>
      <right style="medium">
        <color theme="3" tint="-0.24994659260841701"/>
      </right>
      <top style="thin">
        <color theme="0" tint="-0.499984740745262"/>
      </top>
      <bottom style="medium">
        <color rgb="FF014A68"/>
      </bottom>
      <diagonal/>
    </border>
    <border>
      <left style="thin">
        <color theme="0" tint="-0.499984740745262"/>
      </left>
      <right style="medium">
        <color theme="3" tint="-0.24994659260841701"/>
      </right>
      <top style="thin">
        <color theme="0" tint="-0.499984740745262"/>
      </top>
      <bottom/>
      <diagonal/>
    </border>
    <border>
      <left style="thin">
        <color theme="0" tint="-0.499984740745262"/>
      </left>
      <right style="medium">
        <color theme="3" tint="-0.24994659260841701"/>
      </right>
      <top style="medium">
        <color rgb="FF014A68"/>
      </top>
      <bottom style="medium">
        <color rgb="FF014A68"/>
      </bottom>
      <diagonal/>
    </border>
    <border>
      <left style="thin">
        <color theme="0" tint="-0.499984740745262"/>
      </left>
      <right style="thin">
        <color theme="0" tint="-0.499984740745262"/>
      </right>
      <top style="medium">
        <color rgb="FF014A69"/>
      </top>
      <bottom style="medium">
        <color rgb="FF014A69"/>
      </bottom>
      <diagonal/>
    </border>
    <border>
      <left style="thin">
        <color theme="0" tint="-0.499984740745262"/>
      </left>
      <right style="thin">
        <color theme="0" tint="-0.499984740745262"/>
      </right>
      <top style="thin">
        <color theme="0" tint="-0.499984740745262"/>
      </top>
      <bottom style="medium">
        <color rgb="FF014A69"/>
      </bottom>
      <diagonal/>
    </border>
    <border>
      <left/>
      <right/>
      <top style="thin">
        <color theme="0" tint="-0.499984740745262"/>
      </top>
      <bottom style="medium">
        <color rgb="FF014A68"/>
      </bottom>
      <diagonal/>
    </border>
  </borders>
  <cellStyleXfs count="9">
    <xf numFmtId="0" fontId="0" fillId="0" borderId="0"/>
    <xf numFmtId="0" fontId="3" fillId="0" borderId="0"/>
    <xf numFmtId="0" fontId="4" fillId="0" borderId="0" applyNumberFormat="0" applyFill="0" applyBorder="0" applyAlignment="0" applyProtection="0"/>
    <xf numFmtId="0" fontId="12" fillId="0" borderId="0"/>
    <xf numFmtId="0" fontId="1" fillId="0" borderId="0"/>
    <xf numFmtId="0" fontId="12" fillId="0" borderId="0"/>
    <xf numFmtId="0" fontId="12" fillId="0" borderId="0"/>
    <xf numFmtId="0" fontId="12" fillId="0" borderId="0"/>
    <xf numFmtId="164" fontId="1" fillId="0" borderId="0" applyFont="0" applyFill="0" applyBorder="0" applyAlignment="0" applyProtection="0"/>
  </cellStyleXfs>
  <cellXfs count="565">
    <xf numFmtId="0" fontId="0" fillId="0" borderId="0" xfId="0"/>
    <xf numFmtId="0" fontId="0" fillId="0" borderId="0" xfId="0"/>
    <xf numFmtId="0" fontId="0" fillId="0" borderId="0" xfId="0" applyFill="1"/>
    <xf numFmtId="0" fontId="11" fillId="0" borderId="0" xfId="0" applyFont="1" applyFill="1" applyBorder="1" applyAlignment="1">
      <alignment vertical="center"/>
    </xf>
    <xf numFmtId="0" fontId="6" fillId="0" borderId="0" xfId="0" applyFont="1" applyFill="1"/>
    <xf numFmtId="9" fontId="6" fillId="0" borderId="0" xfId="0" applyNumberFormat="1" applyFont="1" applyFill="1" applyAlignment="1">
      <alignment horizontal="right"/>
    </xf>
    <xf numFmtId="0" fontId="14" fillId="0" borderId="0" xfId="0" applyFont="1" applyFill="1" applyProtection="1"/>
    <xf numFmtId="0" fontId="15" fillId="0" borderId="0" xfId="0" applyFont="1" applyFill="1" applyBorder="1" applyAlignment="1">
      <alignment horizontal="left" vertical="top" wrapText="1"/>
    </xf>
    <xf numFmtId="0" fontId="6" fillId="0" borderId="0" xfId="0" applyFont="1"/>
    <xf numFmtId="167" fontId="6" fillId="0" borderId="0" xfId="0" applyNumberFormat="1" applyFont="1" applyAlignment="1">
      <alignment horizontal="right"/>
    </xf>
    <xf numFmtId="9" fontId="6" fillId="0" borderId="0" xfId="0" applyNumberFormat="1" applyFont="1" applyAlignment="1">
      <alignment horizontal="right"/>
    </xf>
    <xf numFmtId="0" fontId="16" fillId="0" borderId="0" xfId="0" applyFont="1" applyFill="1" applyBorder="1" applyAlignment="1">
      <alignment horizontal="left" vertical="center"/>
    </xf>
    <xf numFmtId="167" fontId="0" fillId="0" borderId="0" xfId="0" applyNumberFormat="1" applyFill="1" applyAlignment="1">
      <alignment horizontal="center" vertical="top"/>
    </xf>
    <xf numFmtId="0" fontId="13" fillId="13" borderId="3" xfId="0" applyFont="1" applyFill="1" applyBorder="1"/>
    <xf numFmtId="0" fontId="0" fillId="0" borderId="0" xfId="0" applyProtection="1"/>
    <xf numFmtId="0" fontId="0" fillId="0" borderId="0" xfId="0" applyFont="1" applyFill="1" applyBorder="1" applyAlignment="1"/>
    <xf numFmtId="0" fontId="2" fillId="0" borderId="0" xfId="0" applyFont="1" applyFill="1"/>
    <xf numFmtId="169" fontId="0" fillId="0" borderId="0" xfId="0" applyNumberFormat="1" applyFill="1"/>
    <xf numFmtId="0" fontId="0" fillId="0" borderId="0" xfId="0" applyNumberFormat="1" applyFill="1" applyAlignment="1">
      <alignment horizontal="right"/>
    </xf>
    <xf numFmtId="0" fontId="13" fillId="20" borderId="0" xfId="0" applyFont="1" applyFill="1" applyBorder="1"/>
    <xf numFmtId="0" fontId="13" fillId="0" borderId="0" xfId="0" applyFont="1" applyFill="1" applyBorder="1"/>
    <xf numFmtId="0" fontId="13" fillId="0" borderId="28" xfId="0" applyFont="1" applyFill="1" applyBorder="1"/>
    <xf numFmtId="0" fontId="0" fillId="0" borderId="26" xfId="0" applyFont="1" applyFill="1" applyBorder="1"/>
    <xf numFmtId="0" fontId="0" fillId="0" borderId="25" xfId="0" applyFont="1" applyFill="1" applyBorder="1"/>
    <xf numFmtId="0" fontId="0" fillId="0" borderId="27" xfId="0" applyFont="1" applyFill="1" applyBorder="1"/>
    <xf numFmtId="0" fontId="7" fillId="5" borderId="36" xfId="0" applyFont="1" applyFill="1" applyBorder="1" applyAlignment="1" applyProtection="1">
      <alignment horizontal="right"/>
    </xf>
    <xf numFmtId="9" fontId="6" fillId="5" borderId="38" xfId="0" applyNumberFormat="1" applyFont="1" applyFill="1" applyBorder="1" applyAlignment="1" applyProtection="1">
      <alignment horizontal="right" vertical="center"/>
    </xf>
    <xf numFmtId="167" fontId="6" fillId="5" borderId="38" xfId="0" applyNumberFormat="1" applyFont="1" applyFill="1" applyBorder="1" applyAlignment="1" applyProtection="1">
      <alignment horizontal="right" vertical="center"/>
    </xf>
    <xf numFmtId="9" fontId="6" fillId="5" borderId="45" xfId="0" applyNumberFormat="1" applyFont="1" applyFill="1" applyBorder="1" applyAlignment="1" applyProtection="1">
      <alignment horizontal="right" vertical="center"/>
    </xf>
    <xf numFmtId="0" fontId="0" fillId="0" borderId="0" xfId="0" applyProtection="1">
      <protection hidden="1"/>
    </xf>
    <xf numFmtId="0" fontId="6" fillId="0" borderId="0" xfId="0" applyFont="1" applyBorder="1" applyAlignment="1" applyProtection="1">
      <alignment wrapText="1"/>
      <protection hidden="1"/>
    </xf>
    <xf numFmtId="0" fontId="0" fillId="12" borderId="0" xfId="0" applyFill="1" applyProtection="1">
      <protection hidden="1"/>
    </xf>
    <xf numFmtId="0" fontId="6" fillId="17" borderId="0" xfId="0" applyFont="1" applyFill="1" applyBorder="1" applyAlignment="1" applyProtection="1">
      <alignment wrapText="1"/>
      <protection hidden="1"/>
    </xf>
    <xf numFmtId="0" fontId="25" fillId="16" borderId="0" xfId="0" applyFont="1" applyFill="1" applyBorder="1" applyAlignment="1" applyProtection="1">
      <alignment horizontal="center" vertical="center" wrapText="1"/>
      <protection hidden="1"/>
    </xf>
    <xf numFmtId="0" fontId="0" fillId="12" borderId="10" xfId="0" applyFill="1" applyBorder="1" applyProtection="1">
      <protection hidden="1"/>
    </xf>
    <xf numFmtId="0" fontId="22" fillId="0" borderId="10" xfId="0" applyFont="1" applyFill="1" applyBorder="1" applyAlignment="1" applyProtection="1">
      <alignment vertical="top" wrapText="1"/>
      <protection hidden="1"/>
    </xf>
    <xf numFmtId="0" fontId="22" fillId="0" borderId="10" xfId="0" applyNumberFormat="1" applyFont="1" applyFill="1" applyBorder="1" applyAlignment="1" applyProtection="1">
      <alignment vertical="top" wrapText="1"/>
      <protection hidden="1"/>
    </xf>
    <xf numFmtId="0" fontId="11" fillId="6" borderId="11" xfId="0" applyNumberFormat="1" applyFont="1" applyFill="1" applyBorder="1" applyAlignment="1" applyProtection="1">
      <alignment vertical="top" wrapText="1"/>
      <protection hidden="1"/>
    </xf>
    <xf numFmtId="0" fontId="11" fillId="17" borderId="10" xfId="0" applyNumberFormat="1" applyFont="1" applyFill="1" applyBorder="1" applyAlignment="1" applyProtection="1">
      <alignment vertical="top" wrapText="1"/>
      <protection hidden="1"/>
    </xf>
    <xf numFmtId="0" fontId="11" fillId="6" borderId="10" xfId="0" applyNumberFormat="1" applyFont="1" applyFill="1" applyBorder="1" applyAlignment="1" applyProtection="1">
      <alignment vertical="top" wrapText="1"/>
      <protection hidden="1"/>
    </xf>
    <xf numFmtId="1" fontId="22" fillId="17" borderId="0" xfId="0" applyNumberFormat="1" applyFont="1" applyFill="1" applyBorder="1" applyAlignment="1" applyProtection="1">
      <alignment vertical="top" wrapText="1"/>
      <protection hidden="1"/>
    </xf>
    <xf numFmtId="0" fontId="0" fillId="12" borderId="12" xfId="0" applyFill="1" applyBorder="1" applyProtection="1">
      <protection hidden="1"/>
    </xf>
    <xf numFmtId="0" fontId="11" fillId="6" borderId="13" xfId="0" applyNumberFormat="1" applyFont="1" applyFill="1" applyBorder="1" applyAlignment="1" applyProtection="1">
      <alignment vertical="top" wrapText="1"/>
      <protection hidden="1"/>
    </xf>
    <xf numFmtId="0" fontId="11" fillId="17" borderId="12" xfId="0" applyNumberFormat="1" applyFont="1" applyFill="1" applyBorder="1" applyAlignment="1" applyProtection="1">
      <alignment vertical="top" wrapText="1"/>
      <protection hidden="1"/>
    </xf>
    <xf numFmtId="0" fontId="11" fillId="6" borderId="12" xfId="0" applyNumberFormat="1" applyFont="1" applyFill="1" applyBorder="1" applyAlignment="1" applyProtection="1">
      <alignment vertical="top" wrapText="1"/>
      <protection hidden="1"/>
    </xf>
    <xf numFmtId="1" fontId="26" fillId="17" borderId="0" xfId="0" applyNumberFormat="1" applyFont="1" applyFill="1" applyBorder="1" applyAlignment="1" applyProtection="1">
      <alignment vertical="top" wrapText="1"/>
      <protection hidden="1"/>
    </xf>
    <xf numFmtId="0" fontId="0" fillId="0" borderId="0" xfId="0" applyBorder="1" applyProtection="1">
      <protection hidden="1"/>
    </xf>
    <xf numFmtId="0" fontId="33" fillId="0" borderId="0" xfId="0" applyFont="1" applyFill="1" applyBorder="1" applyAlignment="1" applyProtection="1">
      <alignment vertical="top"/>
      <protection hidden="1"/>
    </xf>
    <xf numFmtId="0" fontId="28" fillId="0" borderId="0" xfId="0" applyFont="1" applyFill="1" applyBorder="1" applyAlignment="1" applyProtection="1">
      <alignment wrapText="1"/>
      <protection hidden="1"/>
    </xf>
    <xf numFmtId="0" fontId="0" fillId="0" borderId="0" xfId="0" applyFill="1" applyAlignment="1" applyProtection="1">
      <alignment wrapText="1"/>
      <protection hidden="1"/>
    </xf>
    <xf numFmtId="0" fontId="0" fillId="0" borderId="0" xfId="0" applyAlignment="1" applyProtection="1">
      <alignment wrapText="1"/>
      <protection hidden="1"/>
    </xf>
    <xf numFmtId="0" fontId="32" fillId="0" borderId="0" xfId="0" applyFont="1" applyFill="1" applyBorder="1" applyAlignment="1" applyProtection="1">
      <alignment vertical="top"/>
      <protection hidden="1"/>
    </xf>
    <xf numFmtId="0" fontId="30" fillId="0" borderId="0" xfId="0" applyFont="1" applyFill="1" applyBorder="1" applyAlignment="1" applyProtection="1">
      <alignment horizontal="right" vertical="top" wrapText="1"/>
      <protection hidden="1"/>
    </xf>
    <xf numFmtId="0" fontId="30" fillId="4" borderId="0" xfId="0" applyFont="1" applyFill="1" applyBorder="1" applyAlignment="1" applyProtection="1">
      <alignment horizontal="right" vertical="top" wrapText="1"/>
      <protection hidden="1"/>
    </xf>
    <xf numFmtId="0" fontId="10" fillId="0" borderId="0" xfId="0" applyFont="1" applyFill="1" applyBorder="1" applyAlignment="1" applyProtection="1">
      <alignment horizontal="right" vertical="top" wrapText="1"/>
      <protection hidden="1"/>
    </xf>
    <xf numFmtId="0" fontId="6" fillId="0" borderId="14" xfId="0" applyFont="1" applyFill="1" applyBorder="1" applyProtection="1">
      <protection hidden="1"/>
    </xf>
    <xf numFmtId="170" fontId="11" fillId="4" borderId="14" xfId="8" applyNumberFormat="1" applyFont="1" applyFill="1" applyBorder="1" applyAlignment="1" applyProtection="1">
      <alignment horizontal="right" vertical="top" wrapText="1"/>
      <protection hidden="1"/>
    </xf>
    <xf numFmtId="170" fontId="11" fillId="0" borderId="14" xfId="8" applyNumberFormat="1" applyFont="1" applyFill="1" applyBorder="1" applyAlignment="1" applyProtection="1">
      <alignment horizontal="right" vertical="top" wrapText="1"/>
      <protection hidden="1"/>
    </xf>
    <xf numFmtId="170" fontId="14" fillId="0" borderId="14" xfId="8" applyNumberFormat="1" applyFont="1" applyFill="1" applyBorder="1" applyAlignment="1" applyProtection="1">
      <alignment horizontal="right" vertical="top" wrapText="1"/>
      <protection hidden="1"/>
    </xf>
    <xf numFmtId="0" fontId="6" fillId="0" borderId="15" xfId="0" applyFont="1" applyFill="1" applyBorder="1" applyProtection="1">
      <protection hidden="1"/>
    </xf>
    <xf numFmtId="0" fontId="14" fillId="0" borderId="15" xfId="0" applyFont="1" applyFill="1" applyBorder="1" applyAlignment="1" applyProtection="1">
      <alignment horizontal="left" vertical="top" wrapText="1"/>
      <protection hidden="1"/>
    </xf>
    <xf numFmtId="170" fontId="11" fillId="4" borderId="18" xfId="8" applyNumberFormat="1" applyFont="1" applyFill="1" applyBorder="1" applyAlignment="1" applyProtection="1">
      <alignment horizontal="right" vertical="top" wrapText="1"/>
      <protection hidden="1"/>
    </xf>
    <xf numFmtId="170" fontId="11" fillId="0" borderId="18" xfId="8" applyNumberFormat="1" applyFont="1" applyFill="1" applyBorder="1" applyAlignment="1" applyProtection="1">
      <alignment horizontal="right" vertical="top" wrapText="1"/>
      <protection hidden="1"/>
    </xf>
    <xf numFmtId="170" fontId="14" fillId="0" borderId="18" xfId="8" applyNumberFormat="1" applyFont="1" applyFill="1" applyBorder="1" applyAlignment="1" applyProtection="1">
      <alignment horizontal="right" vertical="top" wrapText="1"/>
      <protection hidden="1"/>
    </xf>
    <xf numFmtId="0" fontId="14" fillId="0" borderId="17" xfId="0" applyFont="1" applyFill="1" applyBorder="1" applyAlignment="1" applyProtection="1">
      <alignment horizontal="left" vertical="top" wrapText="1"/>
      <protection hidden="1"/>
    </xf>
    <xf numFmtId="0" fontId="14" fillId="0" borderId="18" xfId="0" applyFont="1" applyFill="1" applyBorder="1" applyAlignment="1" applyProtection="1">
      <alignment horizontal="left" vertical="top" wrapText="1"/>
      <protection hidden="1"/>
    </xf>
    <xf numFmtId="170" fontId="29" fillId="0" borderId="18" xfId="8" applyNumberFormat="1" applyFont="1" applyFill="1" applyBorder="1" applyAlignment="1" applyProtection="1">
      <alignment horizontal="right" vertical="top" wrapText="1"/>
      <protection hidden="1"/>
    </xf>
    <xf numFmtId="0" fontId="30" fillId="0" borderId="0" xfId="0" applyFont="1" applyFill="1" applyBorder="1" applyAlignment="1" applyProtection="1">
      <alignment vertical="top" wrapText="1"/>
      <protection hidden="1"/>
    </xf>
    <xf numFmtId="170" fontId="10" fillId="4" borderId="14" xfId="8" applyNumberFormat="1" applyFont="1" applyFill="1" applyBorder="1" applyAlignment="1" applyProtection="1">
      <alignment horizontal="right" vertical="top" wrapText="1"/>
      <protection hidden="1"/>
    </xf>
    <xf numFmtId="170" fontId="7" fillId="0" borderId="0" xfId="8" applyNumberFormat="1" applyFont="1" applyBorder="1" applyAlignment="1" applyProtection="1">
      <alignment wrapText="1"/>
      <protection hidden="1"/>
    </xf>
    <xf numFmtId="170" fontId="10" fillId="0" borderId="0" xfId="8" applyNumberFormat="1" applyFont="1" applyFill="1" applyBorder="1" applyAlignment="1" applyProtection="1">
      <alignment horizontal="right" vertical="top" wrapText="1"/>
      <protection hidden="1"/>
    </xf>
    <xf numFmtId="170" fontId="0" fillId="0" borderId="0" xfId="0" applyNumberFormat="1" applyFill="1" applyAlignment="1" applyProtection="1">
      <alignment wrapText="1"/>
      <protection hidden="1"/>
    </xf>
    <xf numFmtId="0" fontId="27" fillId="0" borderId="0" xfId="0" applyFont="1" applyBorder="1" applyAlignment="1" applyProtection="1">
      <alignment vertical="top"/>
      <protection hidden="1"/>
    </xf>
    <xf numFmtId="0" fontId="6" fillId="0" borderId="48" xfId="0" applyFont="1" applyBorder="1" applyAlignment="1" applyProtection="1">
      <alignment vertical="top" wrapText="1"/>
      <protection hidden="1"/>
    </xf>
    <xf numFmtId="0" fontId="6" fillId="0" borderId="46" xfId="0" applyFont="1" applyBorder="1" applyAlignment="1" applyProtection="1">
      <alignment vertical="top" wrapText="1"/>
      <protection hidden="1"/>
    </xf>
    <xf numFmtId="0" fontId="6" fillId="0" borderId="49" xfId="0" applyFont="1" applyBorder="1" applyAlignment="1" applyProtection="1">
      <alignment vertical="top" wrapText="1"/>
      <protection hidden="1"/>
    </xf>
    <xf numFmtId="0" fontId="6" fillId="0" borderId="50" xfId="0" applyFont="1" applyBorder="1" applyAlignment="1" applyProtection="1">
      <alignment vertical="top" wrapText="1"/>
      <protection hidden="1"/>
    </xf>
    <xf numFmtId="0" fontId="0" fillId="0" borderId="0" xfId="0" applyBorder="1" applyAlignment="1" applyProtection="1">
      <alignment wrapText="1"/>
      <protection hidden="1"/>
    </xf>
    <xf numFmtId="0" fontId="6" fillId="21" borderId="0" xfId="0" applyFont="1" applyFill="1" applyBorder="1" applyAlignment="1" applyProtection="1">
      <alignment horizontal="left" vertical="top" wrapText="1"/>
    </xf>
    <xf numFmtId="0" fontId="6" fillId="6" borderId="51" xfId="0" applyFont="1" applyFill="1" applyBorder="1" applyAlignment="1" applyProtection="1">
      <alignment horizontal="left" vertical="top" wrapText="1"/>
      <protection locked="0"/>
    </xf>
    <xf numFmtId="166" fontId="0" fillId="0" borderId="0" xfId="0" applyNumberFormat="1"/>
    <xf numFmtId="170" fontId="11" fillId="4" borderId="0" xfId="8" applyNumberFormat="1" applyFont="1" applyFill="1" applyBorder="1" applyAlignment="1" applyProtection="1">
      <alignment horizontal="right" vertical="top" wrapText="1"/>
      <protection hidden="1"/>
    </xf>
    <xf numFmtId="170" fontId="11" fillId="4" borderId="17" xfId="8" applyNumberFormat="1" applyFont="1" applyFill="1" applyBorder="1" applyAlignment="1" applyProtection="1">
      <alignment horizontal="right" vertical="top" wrapText="1"/>
      <protection hidden="1"/>
    </xf>
    <xf numFmtId="170" fontId="11" fillId="4" borderId="7" xfId="8" applyNumberFormat="1" applyFont="1" applyFill="1" applyBorder="1" applyAlignment="1" applyProtection="1">
      <alignment horizontal="right" vertical="top" wrapText="1"/>
      <protection hidden="1"/>
    </xf>
    <xf numFmtId="170" fontId="11" fillId="0" borderId="0" xfId="8" applyNumberFormat="1" applyFont="1" applyFill="1" applyBorder="1" applyAlignment="1" applyProtection="1">
      <alignment horizontal="right" vertical="top" wrapText="1"/>
      <protection hidden="1"/>
    </xf>
    <xf numFmtId="170" fontId="14" fillId="0" borderId="0" xfId="8" applyNumberFormat="1" applyFont="1" applyFill="1" applyBorder="1" applyAlignment="1" applyProtection="1">
      <alignment horizontal="right" vertical="top" wrapText="1"/>
      <protection hidden="1"/>
    </xf>
    <xf numFmtId="170" fontId="11" fillId="0" borderId="17" xfId="8" applyNumberFormat="1" applyFont="1" applyFill="1" applyBorder="1" applyAlignment="1" applyProtection="1">
      <alignment horizontal="right" vertical="top" wrapText="1"/>
      <protection hidden="1"/>
    </xf>
    <xf numFmtId="170" fontId="14" fillId="0" borderId="17" xfId="8" applyNumberFormat="1" applyFont="1" applyFill="1" applyBorder="1" applyAlignment="1" applyProtection="1">
      <alignment horizontal="right" vertical="top" wrapText="1"/>
      <protection hidden="1"/>
    </xf>
    <xf numFmtId="170" fontId="11" fillId="0" borderId="7" xfId="8" applyNumberFormat="1" applyFont="1" applyFill="1" applyBorder="1" applyAlignment="1" applyProtection="1">
      <alignment horizontal="right" vertical="top" wrapText="1"/>
      <protection hidden="1"/>
    </xf>
    <xf numFmtId="170" fontId="14" fillId="0" borderId="7" xfId="8" applyNumberFormat="1" applyFont="1" applyFill="1" applyBorder="1" applyAlignment="1" applyProtection="1">
      <alignment horizontal="right" vertical="top" wrapText="1"/>
      <protection hidden="1"/>
    </xf>
    <xf numFmtId="170" fontId="10" fillId="4" borderId="0" xfId="8" applyNumberFormat="1" applyFont="1" applyFill="1" applyBorder="1" applyAlignment="1" applyProtection="1">
      <alignment horizontal="right" vertical="top" wrapText="1"/>
      <protection hidden="1"/>
    </xf>
    <xf numFmtId="170" fontId="30" fillId="0" borderId="0" xfId="8" applyNumberFormat="1" applyFont="1" applyFill="1" applyBorder="1" applyAlignment="1" applyProtection="1">
      <alignment horizontal="right" vertical="top" wrapText="1"/>
      <protection hidden="1"/>
    </xf>
    <xf numFmtId="0" fontId="6" fillId="0" borderId="0" xfId="0" applyFont="1" applyFill="1" applyBorder="1" applyProtection="1">
      <protection hidden="1"/>
    </xf>
    <xf numFmtId="0" fontId="6" fillId="0" borderId="17" xfId="0" applyFont="1" applyFill="1" applyBorder="1" applyProtection="1">
      <protection hidden="1"/>
    </xf>
    <xf numFmtId="0" fontId="6" fillId="0" borderId="7" xfId="0" applyFont="1" applyFill="1" applyBorder="1" applyProtection="1">
      <protection hidden="1"/>
    </xf>
    <xf numFmtId="0" fontId="7" fillId="0" borderId="0" xfId="0" applyFont="1" applyFill="1" applyBorder="1" applyProtection="1">
      <protection hidden="1"/>
    </xf>
    <xf numFmtId="0" fontId="6" fillId="0" borderId="0" xfId="0" applyFont="1" applyFill="1" applyBorder="1" applyAlignment="1" applyProtection="1">
      <alignment vertical="top"/>
      <protection hidden="1"/>
    </xf>
    <xf numFmtId="0" fontId="8" fillId="0" borderId="0" xfId="0" applyFont="1" applyFill="1" applyBorder="1" applyAlignment="1" applyProtection="1">
      <alignment horizontal="center" vertical="top"/>
      <protection hidden="1"/>
    </xf>
    <xf numFmtId="0" fontId="0" fillId="0" borderId="0" xfId="0" applyNumberFormat="1" applyFill="1"/>
    <xf numFmtId="49" fontId="8" fillId="23" borderId="0" xfId="0" applyNumberFormat="1" applyFont="1" applyFill="1" applyBorder="1" applyAlignment="1" applyProtection="1">
      <alignment horizontal="left" vertical="top" wrapText="1"/>
    </xf>
    <xf numFmtId="0" fontId="7" fillId="0" borderId="14" xfId="0" applyFont="1" applyFill="1" applyBorder="1" applyProtection="1">
      <protection hidden="1"/>
    </xf>
    <xf numFmtId="0" fontId="6" fillId="0" borderId="18" xfId="0" applyFont="1" applyFill="1" applyBorder="1" applyProtection="1">
      <protection hidden="1"/>
    </xf>
    <xf numFmtId="0" fontId="7" fillId="0" borderId="0" xfId="0" applyFont="1"/>
    <xf numFmtId="0" fontId="15" fillId="0" borderId="57" xfId="0" applyFont="1" applyFill="1" applyBorder="1" applyAlignment="1">
      <alignment horizontal="left" vertical="top" wrapText="1"/>
    </xf>
    <xf numFmtId="0" fontId="15" fillId="0" borderId="58" xfId="0" applyFont="1" applyFill="1" applyBorder="1" applyAlignment="1">
      <alignment horizontal="left" vertical="top" wrapText="1"/>
    </xf>
    <xf numFmtId="0" fontId="8" fillId="24" borderId="21" xfId="0" applyFont="1" applyFill="1" applyBorder="1" applyAlignment="1" applyProtection="1">
      <alignment vertical="top" wrapText="1"/>
      <protection hidden="1"/>
    </xf>
    <xf numFmtId="0" fontId="8" fillId="24" borderId="22" xfId="0" applyNumberFormat="1" applyFont="1" applyFill="1" applyBorder="1" applyAlignment="1" applyProtection="1">
      <alignment vertical="top" wrapText="1"/>
      <protection hidden="1"/>
    </xf>
    <xf numFmtId="171" fontId="8" fillId="24" borderId="22" xfId="8" applyNumberFormat="1" applyFont="1" applyFill="1" applyBorder="1" applyAlignment="1" applyProtection="1">
      <alignment vertical="top" wrapText="1"/>
      <protection hidden="1"/>
    </xf>
    <xf numFmtId="170" fontId="11" fillId="4" borderId="16" xfId="8" applyNumberFormat="1" applyFont="1" applyFill="1" applyBorder="1" applyAlignment="1" applyProtection="1">
      <alignment horizontal="right" vertical="top" wrapText="1"/>
      <protection hidden="1"/>
    </xf>
    <xf numFmtId="170" fontId="14" fillId="0" borderId="16" xfId="8" applyNumberFormat="1" applyFont="1" applyFill="1" applyBorder="1" applyAlignment="1" applyProtection="1">
      <alignment horizontal="right" vertical="top" wrapText="1"/>
      <protection hidden="1"/>
    </xf>
    <xf numFmtId="0" fontId="6" fillId="0" borderId="16" xfId="0" applyFont="1" applyFill="1" applyBorder="1" applyProtection="1">
      <protection hidden="1"/>
    </xf>
    <xf numFmtId="0" fontId="7" fillId="0" borderId="17" xfId="0" applyFont="1" applyFill="1" applyBorder="1" applyProtection="1">
      <protection hidden="1"/>
    </xf>
    <xf numFmtId="170" fontId="11" fillId="4" borderId="15" xfId="8" applyNumberFormat="1" applyFont="1" applyFill="1" applyBorder="1" applyAlignment="1" applyProtection="1">
      <alignment horizontal="right" vertical="top" wrapText="1"/>
      <protection hidden="1"/>
    </xf>
    <xf numFmtId="170" fontId="11" fillId="0" borderId="15" xfId="8" applyNumberFormat="1" applyFont="1" applyFill="1" applyBorder="1" applyAlignment="1" applyProtection="1">
      <alignment horizontal="right" vertical="top" wrapText="1"/>
      <protection hidden="1"/>
    </xf>
    <xf numFmtId="170" fontId="14" fillId="0" borderId="15" xfId="8" applyNumberFormat="1" applyFont="1" applyFill="1" applyBorder="1" applyAlignment="1" applyProtection="1">
      <alignment horizontal="right" vertical="top" wrapText="1"/>
      <protection hidden="1"/>
    </xf>
    <xf numFmtId="0" fontId="11" fillId="0" borderId="0" xfId="0" applyFont="1" applyFill="1" applyBorder="1" applyAlignment="1">
      <alignment horizontal="left" vertical="top"/>
    </xf>
    <xf numFmtId="0" fontId="11" fillId="0" borderId="0" xfId="0" applyFont="1" applyFill="1" applyBorder="1" applyAlignment="1">
      <alignment vertical="top"/>
    </xf>
    <xf numFmtId="0" fontId="0" fillId="0" borderId="0" xfId="0" applyFont="1" applyFill="1" applyBorder="1" applyAlignment="1">
      <alignment vertical="top"/>
    </xf>
    <xf numFmtId="0" fontId="0" fillId="0" borderId="0" xfId="0" applyAlignment="1">
      <alignment vertical="top"/>
    </xf>
    <xf numFmtId="0" fontId="0" fillId="0" borderId="0" xfId="0" applyFill="1" applyAlignment="1">
      <alignment vertical="top"/>
    </xf>
    <xf numFmtId="166" fontId="0" fillId="0" borderId="0" xfId="0" applyNumberFormat="1" applyFill="1" applyAlignment="1">
      <alignment vertical="top"/>
    </xf>
    <xf numFmtId="166" fontId="0" fillId="0" borderId="0" xfId="0" applyNumberFormat="1" applyAlignment="1">
      <alignment vertical="top"/>
    </xf>
    <xf numFmtId="9" fontId="0" fillId="0" borderId="0" xfId="0" applyNumberFormat="1" applyFill="1" applyBorder="1" applyAlignment="1">
      <alignment horizontal="right" vertical="top"/>
    </xf>
    <xf numFmtId="167" fontId="0" fillId="0" borderId="0" xfId="0" applyNumberFormat="1" applyFont="1" applyFill="1" applyAlignment="1">
      <alignment horizontal="right" vertical="top"/>
    </xf>
    <xf numFmtId="9" fontId="0" fillId="0" borderId="0" xfId="0" applyNumberFormat="1" applyFont="1" applyFill="1" applyAlignment="1">
      <alignment horizontal="right" vertical="top"/>
    </xf>
    <xf numFmtId="0" fontId="2" fillId="0" borderId="0" xfId="0" applyFont="1" applyFill="1" applyAlignment="1">
      <alignment vertical="top"/>
    </xf>
    <xf numFmtId="166" fontId="0" fillId="0" borderId="0" xfId="0" applyNumberFormat="1" applyFill="1"/>
    <xf numFmtId="0" fontId="8" fillId="3" borderId="53" xfId="0" applyFont="1" applyFill="1" applyBorder="1" applyAlignment="1">
      <alignment horizontal="left" vertical="top" wrapText="1"/>
    </xf>
    <xf numFmtId="0" fontId="8" fillId="3" borderId="4" xfId="0" applyFont="1" applyFill="1" applyBorder="1" applyAlignment="1">
      <alignment horizontal="left" vertical="top" wrapText="1"/>
    </xf>
    <xf numFmtId="0" fontId="22" fillId="0" borderId="98" xfId="0" applyFont="1" applyFill="1" applyBorder="1" applyAlignment="1" applyProtection="1">
      <alignment vertical="top" wrapText="1"/>
      <protection hidden="1"/>
    </xf>
    <xf numFmtId="49" fontId="8" fillId="9" borderId="74" xfId="0" applyNumberFormat="1" applyFont="1" applyFill="1" applyBorder="1" applyAlignment="1" applyProtection="1">
      <alignment horizontal="left" vertical="top" wrapText="1"/>
      <protection hidden="1"/>
    </xf>
    <xf numFmtId="0" fontId="8" fillId="3" borderId="63" xfId="0" applyFont="1" applyFill="1" applyBorder="1" applyAlignment="1" applyProtection="1">
      <alignment horizontal="left" vertical="top" wrapText="1"/>
    </xf>
    <xf numFmtId="0" fontId="9" fillId="3" borderId="64" xfId="0" applyFont="1" applyFill="1" applyBorder="1" applyAlignment="1" applyProtection="1">
      <alignment horizontal="left" vertical="top" wrapText="1"/>
    </xf>
    <xf numFmtId="0" fontId="8" fillId="3" borderId="64" xfId="0" applyFont="1" applyFill="1" applyBorder="1" applyAlignment="1" applyProtection="1">
      <alignment horizontal="left" vertical="top" wrapText="1"/>
    </xf>
    <xf numFmtId="0" fontId="8" fillId="3" borderId="65" xfId="0" applyFont="1" applyFill="1" applyBorder="1" applyAlignment="1" applyProtection="1">
      <alignment horizontal="left" vertical="top" wrapText="1"/>
    </xf>
    <xf numFmtId="49" fontId="6" fillId="0" borderId="55" xfId="0" applyNumberFormat="1" applyFont="1" applyFill="1" applyBorder="1" applyAlignment="1" applyProtection="1">
      <alignment horizontal="left" vertical="top" wrapText="1"/>
      <protection locked="0"/>
    </xf>
    <xf numFmtId="0" fontId="6" fillId="4" borderId="66" xfId="0" applyNumberFormat="1" applyFont="1" applyFill="1" applyBorder="1" applyAlignment="1" applyProtection="1">
      <alignment horizontal="left" vertical="top" wrapText="1"/>
      <protection hidden="1"/>
    </xf>
    <xf numFmtId="49" fontId="6" fillId="0" borderId="66" xfId="0" applyNumberFormat="1" applyFont="1" applyFill="1" applyBorder="1" applyAlignment="1" applyProtection="1">
      <alignment horizontal="left" vertical="top" wrapText="1"/>
      <protection locked="0"/>
    </xf>
    <xf numFmtId="49" fontId="6" fillId="4" borderId="66" xfId="0" applyNumberFormat="1" applyFont="1" applyFill="1" applyBorder="1" applyAlignment="1" applyProtection="1">
      <alignment horizontal="left" vertical="top" wrapText="1"/>
      <protection hidden="1"/>
    </xf>
    <xf numFmtId="0" fontId="6" fillId="4" borderId="69" xfId="0" applyNumberFormat="1" applyFont="1" applyFill="1" applyBorder="1" applyAlignment="1" applyProtection="1">
      <alignment horizontal="left" vertical="top" wrapText="1"/>
      <protection hidden="1"/>
    </xf>
    <xf numFmtId="49" fontId="6" fillId="0" borderId="69" xfId="0" applyNumberFormat="1" applyFont="1" applyFill="1" applyBorder="1" applyAlignment="1" applyProtection="1">
      <alignment horizontal="left" vertical="top" wrapText="1"/>
      <protection locked="0"/>
    </xf>
    <xf numFmtId="0" fontId="6" fillId="4" borderId="55" xfId="0" applyNumberFormat="1" applyFont="1" applyFill="1" applyBorder="1" applyAlignment="1" applyProtection="1">
      <alignment horizontal="left" vertical="top" wrapText="1"/>
      <protection hidden="1"/>
    </xf>
    <xf numFmtId="0" fontId="7" fillId="4" borderId="66" xfId="0" applyFont="1" applyFill="1" applyBorder="1" applyAlignment="1" applyProtection="1">
      <alignment horizontal="left" vertical="top" wrapText="1"/>
    </xf>
    <xf numFmtId="0" fontId="7" fillId="0" borderId="69" xfId="0" applyFont="1" applyFill="1" applyBorder="1" applyAlignment="1" applyProtection="1">
      <alignment horizontal="left" vertical="top" wrapText="1"/>
      <protection locked="0"/>
    </xf>
    <xf numFmtId="0" fontId="7" fillId="0" borderId="55" xfId="0" applyFont="1" applyFill="1" applyBorder="1" applyAlignment="1" applyProtection="1">
      <alignment horizontal="left" vertical="top" wrapText="1"/>
      <protection locked="0"/>
    </xf>
    <xf numFmtId="166" fontId="6" fillId="21" borderId="0" xfId="0" applyNumberFormat="1" applyFont="1" applyFill="1" applyAlignment="1" applyProtection="1">
      <alignment horizontal="left" vertical="top"/>
    </xf>
    <xf numFmtId="0" fontId="6" fillId="21" borderId="0" xfId="0" applyFont="1" applyFill="1" applyAlignment="1" applyProtection="1">
      <alignment horizontal="left" vertical="top"/>
    </xf>
    <xf numFmtId="0" fontId="6" fillId="21" borderId="0" xfId="0" applyFont="1" applyFill="1" applyBorder="1" applyAlignment="1" applyProtection="1">
      <alignment horizontal="left" vertical="top"/>
    </xf>
    <xf numFmtId="168" fontId="6" fillId="21" borderId="0" xfId="0" applyNumberFormat="1" applyFont="1" applyFill="1" applyBorder="1" applyAlignment="1" applyProtection="1">
      <alignment horizontal="left" vertical="top"/>
    </xf>
    <xf numFmtId="0" fontId="35" fillId="21" borderId="0" xfId="0" applyFont="1" applyFill="1" applyBorder="1" applyAlignment="1" applyProtection="1">
      <alignment horizontal="left" vertical="top"/>
    </xf>
    <xf numFmtId="0" fontId="17" fillId="21" borderId="0" xfId="0" applyFont="1" applyFill="1" applyBorder="1" applyAlignment="1" applyProtection="1">
      <alignment horizontal="left" vertical="top"/>
    </xf>
    <xf numFmtId="0" fontId="36" fillId="21" borderId="0" xfId="0" applyFont="1" applyFill="1" applyAlignment="1" applyProtection="1">
      <alignment horizontal="left" vertical="top"/>
    </xf>
    <xf numFmtId="0" fontId="8" fillId="21" borderId="29" xfId="0" applyFont="1" applyFill="1" applyBorder="1" applyAlignment="1" applyProtection="1">
      <alignment horizontal="left" vertical="top"/>
    </xf>
    <xf numFmtId="0" fontId="8" fillId="21" borderId="0" xfId="0" applyFont="1" applyFill="1" applyBorder="1" applyAlignment="1" applyProtection="1">
      <alignment horizontal="left" vertical="top"/>
    </xf>
    <xf numFmtId="0" fontId="6" fillId="21" borderId="0" xfId="0" applyFont="1" applyFill="1" applyAlignment="1" applyProtection="1">
      <alignment horizontal="left"/>
    </xf>
    <xf numFmtId="0" fontId="10" fillId="21" borderId="0" xfId="0" applyFont="1" applyFill="1" applyBorder="1" applyAlignment="1" applyProtection="1">
      <alignment horizontal="left" vertical="top" wrapText="1"/>
    </xf>
    <xf numFmtId="0" fontId="6" fillId="21" borderId="0" xfId="0" applyFont="1" applyFill="1" applyBorder="1" applyAlignment="1" applyProtection="1">
      <alignment horizontal="left"/>
    </xf>
    <xf numFmtId="0" fontId="9" fillId="21" borderId="0" xfId="0" applyFont="1" applyFill="1" applyAlignment="1" applyProtection="1">
      <alignment horizontal="left"/>
    </xf>
    <xf numFmtId="0" fontId="8" fillId="12" borderId="0" xfId="0" applyFont="1" applyFill="1" applyBorder="1" applyAlignment="1" applyProtection="1">
      <alignment horizontal="left" vertical="center"/>
    </xf>
    <xf numFmtId="0" fontId="8" fillId="9" borderId="65" xfId="0" applyFont="1" applyFill="1" applyBorder="1" applyAlignment="1" applyProtection="1">
      <alignment horizontal="left" vertical="top" wrapText="1"/>
    </xf>
    <xf numFmtId="0" fontId="8" fillId="7" borderId="64" xfId="0" applyFont="1" applyFill="1" applyBorder="1" applyAlignment="1" applyProtection="1">
      <alignment horizontal="left" vertical="top" wrapText="1"/>
    </xf>
    <xf numFmtId="0" fontId="8" fillId="8" borderId="64" xfId="0" applyFont="1" applyFill="1" applyBorder="1" applyAlignment="1" applyProtection="1">
      <alignment horizontal="left" vertical="top" wrapText="1"/>
    </xf>
    <xf numFmtId="0" fontId="37" fillId="21" borderId="0" xfId="0" applyFont="1" applyFill="1" applyBorder="1" applyAlignment="1" applyProtection="1">
      <alignment horizontal="left"/>
    </xf>
    <xf numFmtId="0" fontId="6" fillId="4" borderId="52" xfId="0" applyFont="1" applyFill="1" applyBorder="1" applyAlignment="1" applyProtection="1">
      <alignment horizontal="left" vertical="top"/>
      <protection hidden="1"/>
    </xf>
    <xf numFmtId="172" fontId="6" fillId="21" borderId="0" xfId="0" applyNumberFormat="1" applyFont="1" applyFill="1" applyBorder="1" applyAlignment="1" applyProtection="1">
      <alignment horizontal="left"/>
    </xf>
    <xf numFmtId="0" fontId="6" fillId="4" borderId="51" xfId="0" applyFont="1" applyFill="1" applyBorder="1" applyAlignment="1" applyProtection="1">
      <alignment horizontal="left" vertical="top"/>
      <protection hidden="1"/>
    </xf>
    <xf numFmtId="0" fontId="6" fillId="4" borderId="51" xfId="0" applyFont="1" applyFill="1" applyBorder="1" applyAlignment="1" applyProtection="1">
      <alignment horizontal="left" vertical="top" wrapText="1"/>
      <protection hidden="1"/>
    </xf>
    <xf numFmtId="0" fontId="37" fillId="21" borderId="0" xfId="0" applyFont="1" applyFill="1" applyAlignment="1" applyProtection="1">
      <alignment horizontal="left"/>
    </xf>
    <xf numFmtId="0" fontId="6" fillId="0" borderId="68" xfId="0" applyFont="1" applyFill="1" applyBorder="1" applyAlignment="1" applyProtection="1">
      <alignment horizontal="left" vertical="top" wrapText="1"/>
      <protection locked="0"/>
    </xf>
    <xf numFmtId="0" fontId="6" fillId="4" borderId="68" xfId="0" applyNumberFormat="1" applyFont="1" applyFill="1" applyBorder="1" applyAlignment="1" applyProtection="1">
      <alignment horizontal="left" vertical="top" wrapText="1"/>
      <protection hidden="1"/>
    </xf>
    <xf numFmtId="0" fontId="6" fillId="0" borderId="69" xfId="0" applyFont="1" applyFill="1" applyBorder="1" applyAlignment="1" applyProtection="1">
      <alignment horizontal="left" vertical="top" wrapText="1"/>
      <protection locked="0"/>
    </xf>
    <xf numFmtId="0" fontId="6" fillId="0" borderId="55" xfId="0" applyFont="1" applyFill="1" applyBorder="1" applyAlignment="1" applyProtection="1">
      <alignment horizontal="left" vertical="top" wrapText="1"/>
      <protection locked="0"/>
    </xf>
    <xf numFmtId="38" fontId="6" fillId="21" borderId="0" xfId="0" applyNumberFormat="1" applyFont="1" applyFill="1" applyBorder="1" applyAlignment="1" applyProtection="1">
      <alignment horizontal="left" vertical="top" wrapText="1"/>
    </xf>
    <xf numFmtId="0" fontId="5" fillId="21" borderId="0" xfId="0" applyFont="1" applyFill="1" applyBorder="1" applyAlignment="1" applyProtection="1">
      <alignment horizontal="left" vertical="top" wrapText="1"/>
    </xf>
    <xf numFmtId="1" fontId="6" fillId="21" borderId="0" xfId="0" applyNumberFormat="1" applyFont="1" applyFill="1" applyBorder="1" applyAlignment="1" applyProtection="1">
      <alignment horizontal="left" vertical="top" wrapText="1"/>
    </xf>
    <xf numFmtId="0" fontId="6" fillId="4" borderId="74" xfId="0" applyFont="1" applyFill="1" applyBorder="1" applyAlignment="1" applyProtection="1">
      <alignment horizontal="left" vertical="top" wrapText="1"/>
      <protection hidden="1"/>
    </xf>
    <xf numFmtId="0" fontId="6" fillId="4" borderId="79" xfId="0" applyFont="1" applyFill="1" applyBorder="1" applyAlignment="1" applyProtection="1">
      <alignment horizontal="left" vertical="top" wrapText="1"/>
      <protection hidden="1"/>
    </xf>
    <xf numFmtId="0" fontId="7" fillId="4" borderId="74" xfId="0" applyFont="1" applyFill="1" applyBorder="1" applyAlignment="1" applyProtection="1">
      <alignment horizontal="left" vertical="top" wrapText="1"/>
      <protection hidden="1"/>
    </xf>
    <xf numFmtId="0" fontId="7" fillId="4" borderId="79" xfId="0" applyFont="1" applyFill="1" applyBorder="1" applyAlignment="1" applyProtection="1">
      <alignment horizontal="left" vertical="top" wrapText="1"/>
      <protection hidden="1"/>
    </xf>
    <xf numFmtId="0" fontId="7" fillId="4" borderId="84" xfId="0" applyFont="1" applyFill="1" applyBorder="1" applyAlignment="1" applyProtection="1">
      <alignment horizontal="left" vertical="top" wrapText="1"/>
      <protection hidden="1"/>
    </xf>
    <xf numFmtId="0" fontId="7" fillId="21" borderId="0" xfId="0" applyFont="1" applyFill="1" applyBorder="1" applyAlignment="1" applyProtection="1">
      <alignment horizontal="left" vertical="top" wrapText="1"/>
    </xf>
    <xf numFmtId="38" fontId="7" fillId="21" borderId="0" xfId="0" applyNumberFormat="1" applyFont="1" applyFill="1" applyBorder="1" applyAlignment="1" applyProtection="1">
      <alignment horizontal="left" vertical="top" wrapText="1"/>
    </xf>
    <xf numFmtId="38" fontId="6" fillId="21" borderId="0" xfId="0" applyNumberFormat="1" applyFont="1" applyFill="1" applyBorder="1" applyAlignment="1" applyProtection="1">
      <alignment horizontal="left" vertical="top" wrapText="1"/>
      <protection hidden="1"/>
    </xf>
    <xf numFmtId="0" fontId="7" fillId="21" borderId="0" xfId="0" applyFont="1" applyFill="1" applyBorder="1" applyAlignment="1" applyProtection="1">
      <alignment horizontal="left" vertical="top" wrapText="1"/>
      <protection hidden="1"/>
    </xf>
    <xf numFmtId="38" fontId="7" fillId="21" borderId="0" xfId="0" applyNumberFormat="1" applyFont="1" applyFill="1" applyBorder="1" applyAlignment="1" applyProtection="1">
      <alignment horizontal="left" vertical="top" wrapText="1"/>
      <protection hidden="1"/>
    </xf>
    <xf numFmtId="0" fontId="6" fillId="21" borderId="0" xfId="0" applyFont="1" applyFill="1" applyBorder="1" applyAlignment="1" applyProtection="1">
      <alignment horizontal="left" vertical="top"/>
      <protection hidden="1"/>
    </xf>
    <xf numFmtId="38" fontId="6" fillId="21" borderId="0" xfId="0" applyNumberFormat="1" applyFont="1" applyFill="1" applyBorder="1" applyAlignment="1" applyProtection="1">
      <alignment horizontal="left" vertical="top"/>
      <protection hidden="1"/>
    </xf>
    <xf numFmtId="49" fontId="11" fillId="21" borderId="0" xfId="0" applyNumberFormat="1" applyFont="1" applyFill="1" applyBorder="1" applyAlignment="1" applyProtection="1">
      <alignment horizontal="left" vertical="top"/>
      <protection locked="0"/>
    </xf>
    <xf numFmtId="49" fontId="8" fillId="21" borderId="0" xfId="0" applyNumberFormat="1" applyFont="1" applyFill="1" applyBorder="1" applyAlignment="1" applyProtection="1">
      <alignment horizontal="left" vertical="top" wrapText="1"/>
    </xf>
    <xf numFmtId="0" fontId="7" fillId="21" borderId="0" xfId="0" applyFont="1" applyFill="1" applyBorder="1" applyAlignment="1" applyProtection="1">
      <alignment horizontal="left" vertical="top"/>
      <protection hidden="1"/>
    </xf>
    <xf numFmtId="38" fontId="6" fillId="21" borderId="0" xfId="0" quotePrefix="1" applyNumberFormat="1" applyFont="1" applyFill="1" applyBorder="1" applyAlignment="1" applyProtection="1">
      <alignment horizontal="left" vertical="top"/>
      <protection hidden="1"/>
    </xf>
    <xf numFmtId="38" fontId="7" fillId="21" borderId="0" xfId="0" applyNumberFormat="1" applyFont="1" applyFill="1" applyBorder="1" applyAlignment="1" applyProtection="1">
      <alignment horizontal="left" vertical="top"/>
      <protection hidden="1"/>
    </xf>
    <xf numFmtId="0" fontId="8" fillId="23" borderId="0" xfId="0" applyNumberFormat="1" applyFont="1" applyFill="1" applyBorder="1" applyAlignment="1" applyProtection="1">
      <alignment horizontal="left" vertical="top" wrapText="1"/>
    </xf>
    <xf numFmtId="3" fontId="6" fillId="21" borderId="0" xfId="0" applyNumberFormat="1" applyFont="1" applyFill="1" applyAlignment="1" applyProtection="1">
      <alignment horizontal="left"/>
    </xf>
    <xf numFmtId="165" fontId="6" fillId="0" borderId="67" xfId="0" applyNumberFormat="1" applyFont="1" applyFill="1" applyBorder="1" applyAlignment="1" applyProtection="1">
      <alignment horizontal="right" vertical="top" wrapText="1"/>
      <protection locked="0"/>
    </xf>
    <xf numFmtId="38" fontId="6" fillId="0" borderId="67" xfId="0" applyNumberFormat="1" applyFont="1" applyFill="1" applyBorder="1" applyAlignment="1" applyProtection="1">
      <alignment horizontal="right" vertical="top" wrapText="1"/>
      <protection locked="0"/>
    </xf>
    <xf numFmtId="165" fontId="6" fillId="0" borderId="68" xfId="0" applyNumberFormat="1" applyFont="1" applyFill="1" applyBorder="1" applyAlignment="1" applyProtection="1">
      <alignment horizontal="right" vertical="top" wrapText="1"/>
      <protection locked="0"/>
    </xf>
    <xf numFmtId="38" fontId="6" fillId="0" borderId="68" xfId="0" applyNumberFormat="1" applyFont="1" applyFill="1" applyBorder="1" applyAlignment="1" applyProtection="1">
      <alignment horizontal="right" vertical="top" wrapText="1"/>
      <protection locked="0"/>
    </xf>
    <xf numFmtId="165" fontId="6" fillId="0" borderId="69" xfId="0" applyNumberFormat="1" applyFont="1" applyFill="1" applyBorder="1" applyAlignment="1" applyProtection="1">
      <alignment horizontal="right" vertical="top" wrapText="1"/>
      <protection locked="0"/>
    </xf>
    <xf numFmtId="38" fontId="6" fillId="0" borderId="69" xfId="0" applyNumberFormat="1" applyFont="1" applyFill="1" applyBorder="1" applyAlignment="1" applyProtection="1">
      <alignment horizontal="right" vertical="top" wrapText="1"/>
      <protection locked="0"/>
    </xf>
    <xf numFmtId="165" fontId="6" fillId="0" borderId="55" xfId="0" applyNumberFormat="1" applyFont="1" applyFill="1" applyBorder="1" applyAlignment="1" applyProtection="1">
      <alignment horizontal="right" vertical="top" wrapText="1"/>
      <protection locked="0"/>
    </xf>
    <xf numFmtId="38" fontId="6" fillId="0" borderId="55" xfId="0" applyNumberFormat="1" applyFont="1" applyFill="1" applyBorder="1" applyAlignment="1" applyProtection="1">
      <alignment horizontal="right" vertical="top" wrapText="1"/>
      <protection locked="0"/>
    </xf>
    <xf numFmtId="166" fontId="6" fillId="0" borderId="52" xfId="0" applyNumberFormat="1" applyFont="1" applyBorder="1" applyAlignment="1" applyProtection="1">
      <alignment horizontal="right" vertical="top"/>
      <protection locked="0"/>
    </xf>
    <xf numFmtId="1" fontId="6" fillId="0" borderId="52" xfId="0" applyNumberFormat="1" applyFont="1" applyBorder="1" applyAlignment="1" applyProtection="1">
      <alignment horizontal="right" vertical="top"/>
      <protection locked="0"/>
    </xf>
    <xf numFmtId="2" fontId="6" fillId="4" borderId="52" xfId="0" applyNumberFormat="1" applyFont="1" applyFill="1" applyBorder="1" applyAlignment="1" applyProtection="1">
      <alignment horizontal="right" vertical="top" wrapText="1"/>
      <protection hidden="1"/>
    </xf>
    <xf numFmtId="166" fontId="6" fillId="0" borderId="51" xfId="0" applyNumberFormat="1" applyFont="1" applyBorder="1" applyAlignment="1" applyProtection="1">
      <alignment horizontal="right" vertical="top"/>
      <protection locked="0"/>
    </xf>
    <xf numFmtId="1" fontId="6" fillId="0" borderId="51" xfId="0" applyNumberFormat="1" applyFont="1" applyBorder="1" applyAlignment="1" applyProtection="1">
      <alignment horizontal="right" vertical="top"/>
      <protection locked="0"/>
    </xf>
    <xf numFmtId="2" fontId="6" fillId="4" borderId="51" xfId="0" applyNumberFormat="1" applyFont="1" applyFill="1" applyBorder="1" applyAlignment="1" applyProtection="1">
      <alignment horizontal="right" vertical="top" wrapText="1"/>
      <protection hidden="1"/>
    </xf>
    <xf numFmtId="38" fontId="6" fillId="15" borderId="68" xfId="0" applyNumberFormat="1" applyFont="1" applyFill="1" applyBorder="1" applyAlignment="1" applyProtection="1">
      <alignment horizontal="right" vertical="top" wrapText="1"/>
      <protection locked="0"/>
    </xf>
    <xf numFmtId="38" fontId="6" fillId="6" borderId="69" xfId="0" applyNumberFormat="1" applyFont="1" applyFill="1" applyBorder="1" applyAlignment="1" applyProtection="1">
      <alignment horizontal="right" vertical="top" wrapText="1"/>
      <protection locked="0"/>
    </xf>
    <xf numFmtId="38" fontId="6" fillId="15" borderId="69" xfId="0" applyNumberFormat="1" applyFont="1" applyFill="1" applyBorder="1" applyAlignment="1" applyProtection="1">
      <alignment horizontal="right" vertical="top" wrapText="1"/>
      <protection locked="0"/>
    </xf>
    <xf numFmtId="38" fontId="6" fillId="6" borderId="55" xfId="0" applyNumberFormat="1" applyFont="1" applyFill="1" applyBorder="1" applyAlignment="1" applyProtection="1">
      <alignment horizontal="right" vertical="top" wrapText="1"/>
      <protection locked="0"/>
    </xf>
    <xf numFmtId="3" fontId="6" fillId="4" borderId="77" xfId="0" applyNumberFormat="1" applyFont="1" applyFill="1" applyBorder="1" applyAlignment="1" applyProtection="1">
      <alignment horizontal="right" vertical="top" wrapText="1"/>
      <protection hidden="1"/>
    </xf>
    <xf numFmtId="3" fontId="6" fillId="4" borderId="94" xfId="0" applyNumberFormat="1" applyFont="1" applyFill="1" applyBorder="1" applyAlignment="1" applyProtection="1">
      <alignment horizontal="right" vertical="top" wrapText="1"/>
      <protection hidden="1"/>
    </xf>
    <xf numFmtId="3" fontId="6" fillId="4" borderId="0" xfId="0" applyNumberFormat="1" applyFont="1" applyFill="1" applyBorder="1" applyAlignment="1" applyProtection="1">
      <alignment horizontal="right" vertical="top" wrapText="1"/>
      <protection hidden="1"/>
    </xf>
    <xf numFmtId="38" fontId="6" fillId="4" borderId="78" xfId="0" applyNumberFormat="1" applyFont="1" applyFill="1" applyBorder="1" applyAlignment="1" applyProtection="1">
      <alignment horizontal="right" vertical="top"/>
      <protection hidden="1"/>
    </xf>
    <xf numFmtId="38" fontId="6" fillId="4" borderId="76" xfId="0" applyNumberFormat="1" applyFont="1" applyFill="1" applyBorder="1" applyAlignment="1" applyProtection="1">
      <alignment horizontal="right" vertical="top"/>
      <protection hidden="1"/>
    </xf>
    <xf numFmtId="3" fontId="6" fillId="4" borderId="80" xfId="0" applyNumberFormat="1" applyFont="1" applyFill="1" applyBorder="1" applyAlignment="1" applyProtection="1">
      <alignment horizontal="right" vertical="top" wrapText="1"/>
      <protection hidden="1"/>
    </xf>
    <xf numFmtId="3" fontId="6" fillId="4" borderId="69" xfId="0" applyNumberFormat="1" applyFont="1" applyFill="1" applyBorder="1" applyAlignment="1" applyProtection="1">
      <alignment horizontal="right" vertical="top" wrapText="1"/>
      <protection hidden="1"/>
    </xf>
    <xf numFmtId="3" fontId="6" fillId="4" borderId="95" xfId="0" applyNumberFormat="1" applyFont="1" applyFill="1" applyBorder="1" applyAlignment="1" applyProtection="1">
      <alignment horizontal="right" vertical="top" wrapText="1"/>
      <protection hidden="1"/>
    </xf>
    <xf numFmtId="3" fontId="6" fillId="4" borderId="93" xfId="0" applyNumberFormat="1" applyFont="1" applyFill="1" applyBorder="1" applyAlignment="1" applyProtection="1">
      <alignment horizontal="right" vertical="top" wrapText="1"/>
      <protection hidden="1"/>
    </xf>
    <xf numFmtId="38" fontId="6" fillId="4" borderId="81" xfId="0" applyNumberFormat="1" applyFont="1" applyFill="1" applyBorder="1" applyAlignment="1" applyProtection="1">
      <alignment horizontal="right" vertical="top"/>
      <protection hidden="1"/>
    </xf>
    <xf numFmtId="38" fontId="6" fillId="4" borderId="59" xfId="0" applyNumberFormat="1" applyFont="1" applyFill="1" applyBorder="1" applyAlignment="1" applyProtection="1">
      <alignment horizontal="right" vertical="top"/>
      <protection hidden="1"/>
    </xf>
    <xf numFmtId="38" fontId="6" fillId="4" borderId="82" xfId="0" applyNumberFormat="1" applyFont="1" applyFill="1" applyBorder="1" applyAlignment="1" applyProtection="1">
      <alignment horizontal="right" vertical="top"/>
      <protection hidden="1"/>
    </xf>
    <xf numFmtId="38" fontId="6" fillId="4" borderId="83" xfId="0" applyNumberFormat="1" applyFont="1" applyFill="1" applyBorder="1" applyAlignment="1" applyProtection="1">
      <alignment horizontal="right" vertical="top"/>
      <protection hidden="1"/>
    </xf>
    <xf numFmtId="38" fontId="7" fillId="4" borderId="86" xfId="0" applyNumberFormat="1" applyFont="1" applyFill="1" applyBorder="1" applyAlignment="1" applyProtection="1">
      <alignment horizontal="right" vertical="top"/>
      <protection hidden="1"/>
    </xf>
    <xf numFmtId="38" fontId="7" fillId="4" borderId="87" xfId="0" applyNumberFormat="1" applyFont="1" applyFill="1" applyBorder="1" applyAlignment="1" applyProtection="1">
      <alignment horizontal="right" vertical="top"/>
      <protection hidden="1"/>
    </xf>
    <xf numFmtId="38" fontId="6" fillId="21" borderId="0" xfId="0" applyNumberFormat="1" applyFont="1" applyFill="1" applyBorder="1" applyAlignment="1" applyProtection="1">
      <alignment horizontal="right"/>
      <protection hidden="1"/>
    </xf>
    <xf numFmtId="3" fontId="7" fillId="4" borderId="85" xfId="0" applyNumberFormat="1" applyFont="1" applyFill="1" applyBorder="1" applyAlignment="1" applyProtection="1">
      <alignment horizontal="right" vertical="top" wrapText="1"/>
      <protection hidden="1"/>
    </xf>
    <xf numFmtId="3" fontId="7" fillId="4" borderId="92" xfId="0" applyNumberFormat="1" applyFont="1" applyFill="1" applyBorder="1" applyAlignment="1" applyProtection="1">
      <alignment horizontal="right" vertical="top" wrapText="1"/>
      <protection hidden="1"/>
    </xf>
    <xf numFmtId="0" fontId="38" fillId="21" borderId="0" xfId="0" applyFont="1" applyFill="1" applyBorder="1" applyAlignment="1" applyProtection="1">
      <alignment horizontal="right" vertical="top"/>
    </xf>
    <xf numFmtId="0" fontId="39" fillId="0" borderId="0" xfId="5" applyFont="1"/>
    <xf numFmtId="0" fontId="12" fillId="0" borderId="0" xfId="5" applyFill="1"/>
    <xf numFmtId="0" fontId="12" fillId="0" borderId="0" xfId="5"/>
    <xf numFmtId="49" fontId="6" fillId="0" borderId="0" xfId="0" applyNumberFormat="1" applyFont="1" applyAlignment="1">
      <alignment horizontal="left"/>
    </xf>
    <xf numFmtId="0" fontId="6" fillId="0" borderId="0" xfId="0" applyFont="1" applyAlignment="1">
      <alignment horizontal="center" vertical="center"/>
    </xf>
    <xf numFmtId="49" fontId="6" fillId="0" borderId="0" xfId="0" applyNumberFormat="1" applyFont="1" applyAlignment="1">
      <alignment horizontal="center" vertical="center"/>
    </xf>
    <xf numFmtId="0" fontId="40" fillId="21" borderId="0" xfId="0" applyFont="1" applyFill="1" applyBorder="1" applyAlignment="1" applyProtection="1">
      <alignment horizontal="left" vertical="center"/>
    </xf>
    <xf numFmtId="0" fontId="7" fillId="5" borderId="51" xfId="0" applyFont="1" applyFill="1" applyBorder="1" applyAlignment="1" applyProtection="1">
      <alignment horizontal="left" vertical="top" wrapText="1"/>
    </xf>
    <xf numFmtId="0" fontId="8" fillId="14" borderId="2" xfId="0" applyFont="1" applyFill="1" applyBorder="1" applyAlignment="1" applyProtection="1">
      <alignment horizontal="left" vertical="top"/>
    </xf>
    <xf numFmtId="0" fontId="8" fillId="14" borderId="2" xfId="0" applyFont="1" applyFill="1" applyBorder="1" applyAlignment="1" applyProtection="1">
      <alignment horizontal="left" vertical="top" wrapText="1"/>
    </xf>
    <xf numFmtId="0" fontId="8" fillId="14" borderId="8" xfId="0" applyFont="1" applyFill="1" applyBorder="1" applyAlignment="1" applyProtection="1">
      <alignment horizontal="left" vertical="top" wrapText="1"/>
    </xf>
    <xf numFmtId="169" fontId="0" fillId="0" borderId="0" xfId="0" applyNumberFormat="1" applyAlignment="1">
      <alignment horizontal="right"/>
    </xf>
    <xf numFmtId="0" fontId="6" fillId="4" borderId="100" xfId="0" applyFont="1" applyFill="1" applyBorder="1" applyAlignment="1" applyProtection="1">
      <alignment horizontal="left" vertical="top" wrapText="1"/>
      <protection hidden="1"/>
    </xf>
    <xf numFmtId="3" fontId="6" fillId="4" borderId="55" xfId="0" applyNumberFormat="1" applyFont="1" applyFill="1" applyBorder="1" applyAlignment="1" applyProtection="1">
      <alignment horizontal="right" vertical="top" wrapText="1"/>
      <protection hidden="1"/>
    </xf>
    <xf numFmtId="3" fontId="6" fillId="4" borderId="51" xfId="0" applyNumberFormat="1" applyFont="1" applyFill="1" applyBorder="1" applyAlignment="1" applyProtection="1">
      <alignment horizontal="right" vertical="top" wrapText="1"/>
      <protection hidden="1"/>
    </xf>
    <xf numFmtId="3" fontId="6" fillId="4" borderId="56" xfId="0" applyNumberFormat="1" applyFont="1" applyFill="1" applyBorder="1" applyAlignment="1" applyProtection="1">
      <alignment horizontal="right" vertical="top" wrapText="1"/>
      <protection hidden="1"/>
    </xf>
    <xf numFmtId="38" fontId="6" fillId="4" borderId="101" xfId="0" applyNumberFormat="1" applyFont="1" applyFill="1" applyBorder="1" applyAlignment="1" applyProtection="1">
      <alignment horizontal="right" vertical="top"/>
      <protection hidden="1"/>
    </xf>
    <xf numFmtId="38" fontId="6" fillId="4" borderId="102" xfId="0" applyNumberFormat="1" applyFont="1" applyFill="1" applyBorder="1" applyAlignment="1" applyProtection="1">
      <alignment horizontal="right" vertical="top"/>
      <protection hidden="1"/>
    </xf>
    <xf numFmtId="0" fontId="14" fillId="0" borderId="0" xfId="0" applyFont="1" applyFill="1" applyBorder="1" applyAlignment="1" applyProtection="1">
      <alignment horizontal="left" vertical="top" wrapText="1"/>
      <protection hidden="1"/>
    </xf>
    <xf numFmtId="0" fontId="6" fillId="0" borderId="15" xfId="0" applyFont="1" applyFill="1" applyBorder="1" applyAlignment="1" applyProtection="1">
      <alignment wrapText="1"/>
      <protection hidden="1"/>
    </xf>
    <xf numFmtId="166" fontId="6" fillId="6" borderId="51" xfId="0" applyNumberFormat="1" applyFont="1" applyFill="1" applyBorder="1" applyAlignment="1" applyProtection="1">
      <alignment horizontal="center" vertical="top" wrapText="1"/>
      <protection locked="0"/>
    </xf>
    <xf numFmtId="0" fontId="6" fillId="25" borderId="0" xfId="0" applyFont="1" applyFill="1"/>
    <xf numFmtId="0" fontId="16" fillId="0" borderId="0" xfId="0" applyFont="1" applyBorder="1" applyAlignment="1">
      <alignment horizontal="left" vertical="center"/>
    </xf>
    <xf numFmtId="9" fontId="16" fillId="0" borderId="0" xfId="0" applyNumberFormat="1" applyFont="1" applyBorder="1" applyAlignment="1">
      <alignment horizontal="center" vertical="center"/>
    </xf>
    <xf numFmtId="167" fontId="16" fillId="0" borderId="0" xfId="0" applyNumberFormat="1" applyFont="1" applyBorder="1" applyAlignment="1">
      <alignment horizontal="center" vertical="center"/>
    </xf>
    <xf numFmtId="0" fontId="8" fillId="21" borderId="0" xfId="0" applyFont="1" applyFill="1" applyBorder="1" applyAlignment="1" applyProtection="1">
      <alignment vertical="center"/>
      <protection hidden="1"/>
    </xf>
    <xf numFmtId="0" fontId="6" fillId="21" borderId="0" xfId="0" applyFont="1" applyFill="1" applyBorder="1" applyAlignment="1" applyProtection="1">
      <alignment vertical="top" wrapText="1"/>
      <protection hidden="1"/>
    </xf>
    <xf numFmtId="173" fontId="11" fillId="21" borderId="0" xfId="8" applyNumberFormat="1" applyFont="1" applyFill="1" applyBorder="1" applyAlignment="1" applyProtection="1">
      <protection hidden="1"/>
    </xf>
    <xf numFmtId="173" fontId="10" fillId="21" borderId="0" xfId="8" applyNumberFormat="1" applyFont="1" applyFill="1" applyBorder="1" applyAlignment="1" applyProtection="1">
      <protection hidden="1"/>
    </xf>
    <xf numFmtId="0" fontId="10" fillId="4" borderId="108" xfId="0" applyFont="1" applyFill="1" applyBorder="1" applyAlignment="1" applyProtection="1">
      <alignment horizontal="left" vertical="top" wrapText="1"/>
      <protection hidden="1"/>
    </xf>
    <xf numFmtId="0" fontId="7" fillId="4" borderId="110" xfId="0" applyFont="1" applyFill="1" applyBorder="1" applyAlignment="1" applyProtection="1">
      <alignment horizontal="left" vertical="top" wrapText="1"/>
      <protection hidden="1"/>
    </xf>
    <xf numFmtId="0" fontId="6" fillId="4" borderId="111" xfId="0" applyFont="1" applyFill="1" applyBorder="1" applyAlignment="1" applyProtection="1">
      <alignment horizontal="left" vertical="top" wrapText="1"/>
      <protection hidden="1"/>
    </xf>
    <xf numFmtId="0" fontId="6" fillId="4" borderId="110" xfId="0" applyFont="1" applyFill="1" applyBorder="1" applyAlignment="1" applyProtection="1">
      <alignment horizontal="left" vertical="top" wrapText="1"/>
      <protection hidden="1"/>
    </xf>
    <xf numFmtId="0" fontId="7" fillId="4" borderId="111" xfId="0" applyFont="1" applyFill="1" applyBorder="1" applyAlignment="1" applyProtection="1">
      <alignment horizontal="left" vertical="top" wrapText="1"/>
      <protection hidden="1"/>
    </xf>
    <xf numFmtId="0" fontId="7" fillId="4" borderId="113" xfId="0" applyFont="1" applyFill="1" applyBorder="1" applyAlignment="1" applyProtection="1">
      <alignment horizontal="left" vertical="top" wrapText="1"/>
      <protection hidden="1"/>
    </xf>
    <xf numFmtId="0" fontId="8" fillId="24" borderId="105" xfId="0" applyFont="1" applyFill="1" applyBorder="1" applyAlignment="1" applyProtection="1">
      <alignment horizontal="left" vertical="center" wrapText="1"/>
      <protection hidden="1"/>
    </xf>
    <xf numFmtId="0" fontId="7" fillId="21" borderId="0" xfId="0" applyFont="1" applyFill="1" applyAlignment="1" applyProtection="1">
      <alignment horizontal="left"/>
    </xf>
    <xf numFmtId="0" fontId="8" fillId="9" borderId="3" xfId="0" applyFont="1" applyFill="1" applyBorder="1" applyAlignment="1">
      <alignment horizontal="left" vertical="top" wrapText="1"/>
    </xf>
    <xf numFmtId="0" fontId="8" fillId="7" borderId="0" xfId="0" applyFont="1" applyFill="1" applyBorder="1" applyAlignment="1">
      <alignment horizontal="left" vertical="top" wrapText="1"/>
    </xf>
    <xf numFmtId="0" fontId="8" fillId="8" borderId="0" xfId="0" applyFont="1" applyFill="1" applyBorder="1" applyAlignment="1">
      <alignment horizontal="left" vertical="top" wrapText="1"/>
    </xf>
    <xf numFmtId="0" fontId="6" fillId="12" borderId="0" xfId="0" applyFont="1" applyFill="1" applyProtection="1">
      <protection hidden="1"/>
    </xf>
    <xf numFmtId="0" fontId="6" fillId="0" borderId="0" xfId="0" applyFont="1" applyProtection="1">
      <protection hidden="1"/>
    </xf>
    <xf numFmtId="170" fontId="14" fillId="4" borderId="0" xfId="0" applyNumberFormat="1" applyFont="1" applyFill="1" applyBorder="1" applyAlignment="1" applyProtection="1">
      <alignment horizontal="right" vertical="top" wrapText="1"/>
      <protection hidden="1"/>
    </xf>
    <xf numFmtId="170" fontId="14" fillId="0" borderId="0" xfId="0" applyNumberFormat="1" applyFont="1" applyFill="1" applyBorder="1" applyAlignment="1" applyProtection="1">
      <alignment horizontal="right" vertical="top" wrapText="1"/>
      <protection hidden="1"/>
    </xf>
    <xf numFmtId="170" fontId="11" fillId="0" borderId="0" xfId="0" applyNumberFormat="1" applyFont="1" applyFill="1" applyBorder="1" applyAlignment="1" applyProtection="1">
      <alignment horizontal="right" vertical="top" wrapText="1"/>
      <protection hidden="1"/>
    </xf>
    <xf numFmtId="0" fontId="13" fillId="13" borderId="0" xfId="0" applyFont="1" applyFill="1" applyBorder="1" applyProtection="1"/>
    <xf numFmtId="166" fontId="0" fillId="0" borderId="0" xfId="0" applyNumberFormat="1" applyBorder="1" applyProtection="1"/>
    <xf numFmtId="0" fontId="0" fillId="0" borderId="0" xfId="0" applyBorder="1" applyProtection="1"/>
    <xf numFmtId="0" fontId="0" fillId="0" borderId="0" xfId="0" applyNumberFormat="1" applyBorder="1" applyProtection="1"/>
    <xf numFmtId="0" fontId="0" fillId="0" borderId="0" xfId="0" applyNumberFormat="1" applyFill="1" applyBorder="1" applyProtection="1"/>
    <xf numFmtId="0" fontId="0" fillId="0" borderId="0" xfId="0" applyFill="1" applyBorder="1" applyProtection="1"/>
    <xf numFmtId="166" fontId="0" fillId="0" borderId="0" xfId="0" applyNumberFormat="1" applyFill="1" applyBorder="1" applyProtection="1"/>
    <xf numFmtId="1" fontId="0" fillId="0" borderId="0" xfId="0" applyNumberFormat="1" applyBorder="1" applyProtection="1"/>
    <xf numFmtId="40" fontId="0" fillId="0" borderId="0" xfId="0" applyNumberFormat="1" applyFill="1" applyBorder="1" applyProtection="1"/>
    <xf numFmtId="0" fontId="0" fillId="0" borderId="0" xfId="0" quotePrefix="1" applyFill="1" applyBorder="1" applyAlignment="1" applyProtection="1">
      <alignment horizontal="right"/>
    </xf>
    <xf numFmtId="0" fontId="21" fillId="0" borderId="0" xfId="0" applyFont="1" applyBorder="1" applyAlignment="1" applyProtection="1">
      <alignment horizontal="left" vertical="top" wrapText="1"/>
      <protection hidden="1"/>
    </xf>
    <xf numFmtId="0" fontId="20" fillId="0" borderId="0" xfId="0" applyFont="1" applyBorder="1" applyAlignment="1" applyProtection="1">
      <alignment horizontal="left" vertical="top" wrapText="1"/>
      <protection hidden="1"/>
    </xf>
    <xf numFmtId="0" fontId="23" fillId="24" borderId="96" xfId="0" applyFont="1" applyFill="1" applyBorder="1" applyAlignment="1" applyProtection="1">
      <alignment vertical="center" wrapText="1"/>
      <protection hidden="1"/>
    </xf>
    <xf numFmtId="0" fontId="24" fillId="24" borderId="0" xfId="0" applyFont="1" applyFill="1" applyBorder="1" applyAlignment="1" applyProtection="1">
      <alignment horizontal="left" vertical="center"/>
      <protection hidden="1"/>
    </xf>
    <xf numFmtId="0" fontId="8" fillId="19" borderId="97" xfId="0" applyFont="1" applyFill="1" applyBorder="1" applyAlignment="1" applyProtection="1">
      <alignment vertical="center"/>
      <protection hidden="1"/>
    </xf>
    <xf numFmtId="0" fontId="8" fillId="19" borderId="9" xfId="0" applyFont="1" applyFill="1" applyBorder="1" applyAlignment="1" applyProtection="1">
      <alignment vertical="center" wrapText="1"/>
      <protection hidden="1"/>
    </xf>
    <xf numFmtId="0" fontId="6" fillId="24" borderId="0" xfId="0" applyFont="1" applyFill="1" applyBorder="1" applyAlignment="1" applyProtection="1">
      <alignment wrapText="1"/>
      <protection hidden="1"/>
    </xf>
    <xf numFmtId="0" fontId="0" fillId="24" borderId="0" xfId="0" applyFill="1" applyProtection="1">
      <protection hidden="1"/>
    </xf>
    <xf numFmtId="0" fontId="8" fillId="19" borderId="9" xfId="0" applyFont="1" applyFill="1" applyBorder="1" applyAlignment="1" applyProtection="1">
      <alignment horizontal="center" vertical="center" wrapText="1"/>
      <protection hidden="1"/>
    </xf>
    <xf numFmtId="0" fontId="6" fillId="24" borderId="0" xfId="0" applyFont="1" applyFill="1" applyBorder="1" applyProtection="1">
      <protection hidden="1"/>
    </xf>
    <xf numFmtId="0" fontId="6" fillId="24" borderId="96" xfId="0" applyFont="1" applyFill="1" applyBorder="1" applyProtection="1">
      <protection hidden="1"/>
    </xf>
    <xf numFmtId="0" fontId="8" fillId="24" borderId="0" xfId="0" applyFont="1" applyFill="1" applyBorder="1" applyProtection="1">
      <protection hidden="1"/>
    </xf>
    <xf numFmtId="170" fontId="8" fillId="24" borderId="0" xfId="0" applyNumberFormat="1" applyFont="1" applyFill="1" applyBorder="1" applyProtection="1">
      <protection hidden="1"/>
    </xf>
    <xf numFmtId="170" fontId="18" fillId="24" borderId="0" xfId="0" applyNumberFormat="1" applyFont="1" applyFill="1" applyBorder="1" applyProtection="1">
      <protection hidden="1"/>
    </xf>
    <xf numFmtId="0" fontId="8" fillId="24" borderId="0" xfId="0" applyNumberFormat="1" applyFont="1" applyFill="1" applyBorder="1" applyProtection="1">
      <protection hidden="1"/>
    </xf>
    <xf numFmtId="0" fontId="6" fillId="24" borderId="23" xfId="0" applyFont="1" applyFill="1" applyBorder="1" applyProtection="1">
      <protection hidden="1"/>
    </xf>
    <xf numFmtId="0" fontId="23" fillId="24" borderId="0" xfId="0" applyFont="1" applyFill="1" applyBorder="1" applyAlignment="1" applyProtection="1">
      <alignment vertical="center" wrapText="1"/>
      <protection hidden="1"/>
    </xf>
    <xf numFmtId="0" fontId="8" fillId="19" borderId="9" xfId="0" applyFont="1" applyFill="1" applyBorder="1" applyAlignment="1" applyProtection="1">
      <alignment vertical="center"/>
      <protection hidden="1"/>
    </xf>
    <xf numFmtId="0" fontId="7" fillId="24" borderId="0" xfId="0" applyFont="1" applyFill="1" applyBorder="1" applyProtection="1">
      <protection hidden="1"/>
    </xf>
    <xf numFmtId="0" fontId="18" fillId="24" borderId="0" xfId="0" applyFont="1" applyFill="1" applyBorder="1" applyProtection="1">
      <protection hidden="1"/>
    </xf>
    <xf numFmtId="0" fontId="8" fillId="19" borderId="19" xfId="0" applyFont="1" applyFill="1" applyBorder="1" applyAlignment="1" applyProtection="1">
      <alignment vertical="top" wrapText="1"/>
      <protection hidden="1"/>
    </xf>
    <xf numFmtId="0" fontId="8" fillId="19" borderId="20" xfId="0" applyFont="1" applyFill="1" applyBorder="1" applyAlignment="1" applyProtection="1">
      <alignment vertical="top" wrapText="1"/>
      <protection hidden="1"/>
    </xf>
    <xf numFmtId="170" fontId="6" fillId="0" borderId="129" xfId="8" applyNumberFormat="1" applyFont="1" applyBorder="1" applyAlignment="1" applyProtection="1">
      <alignment vertical="top" wrapText="1"/>
      <protection hidden="1"/>
    </xf>
    <xf numFmtId="171" fontId="8" fillId="24" borderId="99" xfId="0" applyNumberFormat="1" applyFont="1" applyFill="1" applyBorder="1" applyAlignment="1" applyProtection="1">
      <alignment vertical="top" wrapText="1"/>
      <protection hidden="1"/>
    </xf>
    <xf numFmtId="170" fontId="11" fillId="6" borderId="126" xfId="0" applyNumberFormat="1" applyFont="1" applyFill="1" applyBorder="1" applyAlignment="1" applyProtection="1">
      <alignment vertical="top" wrapText="1"/>
      <protection hidden="1"/>
    </xf>
    <xf numFmtId="170" fontId="11" fillId="6" borderId="10" xfId="0" applyNumberFormat="1" applyFont="1" applyFill="1" applyBorder="1" applyAlignment="1" applyProtection="1">
      <alignment vertical="top" wrapText="1"/>
      <protection hidden="1"/>
    </xf>
    <xf numFmtId="170" fontId="11" fillId="6" borderId="12" xfId="0" applyNumberFormat="1" applyFont="1" applyFill="1" applyBorder="1" applyAlignment="1" applyProtection="1">
      <alignment vertical="top" wrapText="1"/>
      <protection hidden="1"/>
    </xf>
    <xf numFmtId="0" fontId="31" fillId="0" borderId="0" xfId="0" applyFont="1" applyFill="1" applyBorder="1" applyAlignment="1" applyProtection="1">
      <alignment vertical="top" wrapText="1"/>
      <protection hidden="1"/>
    </xf>
    <xf numFmtId="38" fontId="6" fillId="22" borderId="134" xfId="0" applyNumberFormat="1" applyFont="1" applyFill="1" applyBorder="1" applyAlignment="1" applyProtection="1">
      <alignment horizontal="right" vertical="top" wrapText="1"/>
      <protection hidden="1"/>
    </xf>
    <xf numFmtId="38" fontId="6" fillId="22" borderId="51" xfId="0" applyNumberFormat="1" applyFont="1" applyFill="1" applyBorder="1" applyAlignment="1" applyProtection="1">
      <alignment horizontal="right" vertical="top" wrapText="1"/>
      <protection hidden="1"/>
    </xf>
    <xf numFmtId="38" fontId="6" fillId="4" borderId="135" xfId="0" applyNumberFormat="1" applyFont="1" applyFill="1" applyBorder="1" applyAlignment="1" applyProtection="1">
      <alignment horizontal="right" vertical="top" wrapText="1"/>
      <protection hidden="1"/>
    </xf>
    <xf numFmtId="38" fontId="6" fillId="4" borderId="51" xfId="0" applyNumberFormat="1" applyFont="1" applyFill="1" applyBorder="1" applyAlignment="1" applyProtection="1">
      <alignment horizontal="right" vertical="top" wrapText="1"/>
      <protection hidden="1"/>
    </xf>
    <xf numFmtId="0" fontId="8" fillId="9" borderId="137" xfId="0" applyFont="1" applyFill="1" applyBorder="1" applyAlignment="1" applyProtection="1">
      <alignment horizontal="left" vertical="top" wrapText="1"/>
    </xf>
    <xf numFmtId="0" fontId="8" fillId="7" borderId="139" xfId="0" applyFont="1" applyFill="1" applyBorder="1" applyAlignment="1" applyProtection="1">
      <alignment horizontal="left" vertical="top" wrapText="1"/>
    </xf>
    <xf numFmtId="0" fontId="8" fillId="21" borderId="3" xfId="0" applyFont="1" applyFill="1" applyBorder="1" applyAlignment="1" applyProtection="1">
      <alignment vertical="center"/>
    </xf>
    <xf numFmtId="0" fontId="8" fillId="3" borderId="141" xfId="0" applyFont="1" applyFill="1" applyBorder="1" applyAlignment="1" applyProtection="1">
      <alignment horizontal="left" vertical="top" wrapText="1"/>
    </xf>
    <xf numFmtId="165" fontId="6" fillId="5" borderId="142" xfId="0" applyNumberFormat="1" applyFont="1" applyFill="1" applyBorder="1" applyAlignment="1" applyProtection="1">
      <alignment horizontal="right" vertical="top" wrapText="1"/>
      <protection hidden="1"/>
    </xf>
    <xf numFmtId="165" fontId="6" fillId="5" borderId="51" xfId="0" applyNumberFormat="1" applyFont="1" applyFill="1" applyBorder="1" applyAlignment="1" applyProtection="1">
      <alignment horizontal="right" vertical="top" wrapText="1"/>
      <protection hidden="1"/>
    </xf>
    <xf numFmtId="38" fontId="6" fillId="4" borderId="142" xfId="0" applyNumberFormat="1" applyFont="1" applyFill="1" applyBorder="1" applyAlignment="1" applyProtection="1">
      <alignment horizontal="right" vertical="top" wrapText="1"/>
      <protection hidden="1"/>
    </xf>
    <xf numFmtId="38" fontId="6" fillId="6" borderId="140" xfId="0" applyNumberFormat="1" applyFont="1" applyFill="1" applyBorder="1" applyAlignment="1" applyProtection="1">
      <alignment horizontal="right" vertical="top" wrapText="1"/>
      <protection locked="0"/>
    </xf>
    <xf numFmtId="38" fontId="6" fillId="6" borderId="67" xfId="0" applyNumberFormat="1" applyFont="1" applyFill="1" applyBorder="1" applyAlignment="1" applyProtection="1">
      <alignment horizontal="right" vertical="top" wrapText="1"/>
      <protection locked="0"/>
    </xf>
    <xf numFmtId="0" fontId="8" fillId="21" borderId="125" xfId="0" applyFont="1" applyFill="1" applyBorder="1" applyAlignment="1" applyProtection="1">
      <alignment horizontal="left" vertical="center"/>
    </xf>
    <xf numFmtId="38" fontId="6" fillId="15" borderId="55" xfId="0" applyNumberFormat="1" applyFont="1" applyFill="1" applyBorder="1" applyAlignment="1" applyProtection="1">
      <alignment horizontal="right" vertical="top" wrapText="1"/>
      <protection locked="0"/>
    </xf>
    <xf numFmtId="170" fontId="8" fillId="24" borderId="145" xfId="0" applyNumberFormat="1" applyFont="1" applyFill="1" applyBorder="1" applyProtection="1">
      <protection hidden="1"/>
    </xf>
    <xf numFmtId="170" fontId="6" fillId="0" borderId="130" xfId="8" applyNumberFormat="1" applyFont="1" applyBorder="1" applyAlignment="1" applyProtection="1">
      <alignment vertical="top" wrapText="1"/>
      <protection hidden="1"/>
    </xf>
    <xf numFmtId="0" fontId="11" fillId="6" borderId="148" xfId="0" applyNumberFormat="1" applyFont="1" applyFill="1" applyBorder="1" applyAlignment="1" applyProtection="1">
      <alignment vertical="top" wrapText="1"/>
      <protection hidden="1"/>
    </xf>
    <xf numFmtId="0" fontId="11" fillId="6" borderId="129" xfId="0" applyNumberFormat="1" applyFont="1" applyFill="1" applyBorder="1" applyAlignment="1" applyProtection="1">
      <alignment vertical="top" wrapText="1"/>
      <protection hidden="1"/>
    </xf>
    <xf numFmtId="0" fontId="11" fillId="6" borderId="149" xfId="0" applyNumberFormat="1" applyFont="1" applyFill="1" applyBorder="1" applyAlignment="1" applyProtection="1">
      <alignment vertical="top" wrapText="1"/>
      <protection hidden="1"/>
    </xf>
    <xf numFmtId="3" fontId="6" fillId="4" borderId="150" xfId="0" applyNumberFormat="1" applyFont="1" applyFill="1" applyBorder="1" applyAlignment="1" applyProtection="1">
      <alignment horizontal="right" vertical="top" wrapText="1"/>
      <protection hidden="1"/>
    </xf>
    <xf numFmtId="3" fontId="6" fillId="4" borderId="151" xfId="0" applyNumberFormat="1" applyFont="1" applyFill="1" applyBorder="1" applyAlignment="1" applyProtection="1">
      <alignment horizontal="right" vertical="top" wrapText="1"/>
      <protection hidden="1"/>
    </xf>
    <xf numFmtId="3" fontId="6" fillId="4" borderId="152" xfId="0" applyNumberFormat="1" applyFont="1" applyFill="1" applyBorder="1" applyAlignment="1" applyProtection="1">
      <alignment horizontal="right" vertical="top" wrapText="1"/>
      <protection hidden="1"/>
    </xf>
    <xf numFmtId="3" fontId="6" fillId="4" borderId="154" xfId="0" applyNumberFormat="1" applyFont="1" applyFill="1" applyBorder="1" applyAlignment="1" applyProtection="1">
      <alignment horizontal="right" vertical="top" wrapText="1"/>
      <protection hidden="1"/>
    </xf>
    <xf numFmtId="3" fontId="6" fillId="4" borderId="155" xfId="0" applyNumberFormat="1" applyFont="1" applyFill="1" applyBorder="1" applyAlignment="1" applyProtection="1">
      <alignment horizontal="right" vertical="top" wrapText="1"/>
      <protection hidden="1"/>
    </xf>
    <xf numFmtId="3" fontId="6" fillId="4" borderId="156" xfId="0" applyNumberFormat="1" applyFont="1" applyFill="1" applyBorder="1" applyAlignment="1" applyProtection="1">
      <alignment horizontal="right" vertical="top" wrapText="1"/>
      <protection hidden="1"/>
    </xf>
    <xf numFmtId="3" fontId="6" fillId="4" borderId="153" xfId="0" applyNumberFormat="1" applyFont="1" applyFill="1" applyBorder="1" applyAlignment="1" applyProtection="1">
      <alignment horizontal="right" vertical="top" wrapText="1"/>
      <protection hidden="1"/>
    </xf>
    <xf numFmtId="3" fontId="6" fillId="4" borderId="160" xfId="0" applyNumberFormat="1" applyFont="1" applyFill="1" applyBorder="1" applyAlignment="1" applyProtection="1">
      <alignment horizontal="right" vertical="top" wrapText="1"/>
      <protection hidden="1"/>
    </xf>
    <xf numFmtId="3" fontId="6" fillId="4" borderId="161" xfId="0" applyNumberFormat="1" applyFont="1" applyFill="1" applyBorder="1" applyAlignment="1" applyProtection="1">
      <alignment horizontal="right" vertical="top" wrapText="1"/>
      <protection hidden="1"/>
    </xf>
    <xf numFmtId="3" fontId="6" fillId="4" borderId="109" xfId="0" applyNumberFormat="1" applyFont="1" applyFill="1" applyBorder="1" applyAlignment="1" applyProtection="1">
      <alignment horizontal="right" vertical="top" wrapText="1"/>
      <protection hidden="1"/>
    </xf>
    <xf numFmtId="3" fontId="6" fillId="4" borderId="162" xfId="0" applyNumberFormat="1" applyFont="1" applyFill="1" applyBorder="1" applyAlignment="1" applyProtection="1">
      <alignment horizontal="right" vertical="top" wrapText="1"/>
      <protection hidden="1"/>
    </xf>
    <xf numFmtId="3" fontId="7" fillId="4" borderId="164" xfId="0" applyNumberFormat="1" applyFont="1" applyFill="1" applyBorder="1" applyAlignment="1" applyProtection="1">
      <alignment horizontal="right" vertical="top" wrapText="1"/>
      <protection hidden="1"/>
    </xf>
    <xf numFmtId="3" fontId="7" fillId="4" borderId="163" xfId="0" applyNumberFormat="1" applyFont="1" applyFill="1" applyBorder="1" applyAlignment="1" applyProtection="1">
      <alignment horizontal="right" vertical="top" wrapText="1"/>
      <protection hidden="1"/>
    </xf>
    <xf numFmtId="3" fontId="6" fillId="4" borderId="165" xfId="0" applyNumberFormat="1" applyFont="1" applyFill="1" applyBorder="1" applyAlignment="1" applyProtection="1">
      <alignment horizontal="right" vertical="top" wrapText="1"/>
      <protection hidden="1"/>
    </xf>
    <xf numFmtId="3" fontId="6" fillId="4" borderId="52" xfId="0" applyNumberFormat="1" applyFont="1" applyFill="1" applyBorder="1" applyAlignment="1" applyProtection="1">
      <alignment horizontal="right" vertical="top" wrapText="1"/>
      <protection hidden="1"/>
    </xf>
    <xf numFmtId="3" fontId="6" fillId="4" borderId="166" xfId="0" applyNumberFormat="1" applyFont="1" applyFill="1" applyBorder="1" applyAlignment="1" applyProtection="1">
      <alignment horizontal="right" vertical="top" wrapText="1"/>
      <protection hidden="1"/>
    </xf>
    <xf numFmtId="3" fontId="6" fillId="4" borderId="167" xfId="0" applyNumberFormat="1" applyFont="1" applyFill="1" applyBorder="1" applyAlignment="1" applyProtection="1">
      <alignment horizontal="right" vertical="top" wrapText="1"/>
      <protection hidden="1"/>
    </xf>
    <xf numFmtId="3" fontId="6" fillId="4" borderId="168" xfId="0" applyNumberFormat="1" applyFont="1" applyFill="1" applyBorder="1" applyAlignment="1" applyProtection="1">
      <alignment horizontal="right" vertical="top" wrapText="1"/>
      <protection hidden="1"/>
    </xf>
    <xf numFmtId="0" fontId="0" fillId="21" borderId="0" xfId="0" applyFill="1" applyProtection="1">
      <protection hidden="1"/>
    </xf>
    <xf numFmtId="0" fontId="0" fillId="0" borderId="170" xfId="0" applyNumberFormat="1" applyFont="1" applyBorder="1"/>
    <xf numFmtId="0" fontId="0" fillId="26" borderId="170" xfId="0" applyNumberFormat="1" applyFont="1" applyFill="1" applyBorder="1"/>
    <xf numFmtId="0" fontId="6" fillId="0" borderId="0" xfId="0" applyFont="1" applyFill="1"/>
    <xf numFmtId="0" fontId="16" fillId="0" borderId="0" xfId="0" applyFont="1" applyFill="1" applyBorder="1" applyAlignment="1">
      <alignment horizontal="left" vertical="center"/>
    </xf>
    <xf numFmtId="0" fontId="14" fillId="0" borderId="0" xfId="0" applyFont="1" applyFill="1" applyBorder="1" applyAlignment="1">
      <alignment horizontal="left" vertical="top" wrapText="1"/>
    </xf>
    <xf numFmtId="0" fontId="14" fillId="0" borderId="0" xfId="0" applyFont="1" applyFill="1" applyBorder="1"/>
    <xf numFmtId="170" fontId="11" fillId="0" borderId="14" xfId="8" applyNumberFormat="1" applyFont="1" applyFill="1" applyBorder="1" applyAlignment="1" applyProtection="1">
      <alignment horizontal="right" vertical="top" wrapText="1"/>
      <protection hidden="1"/>
    </xf>
    <xf numFmtId="170" fontId="11" fillId="0" borderId="18" xfId="8" applyNumberFormat="1" applyFont="1" applyFill="1" applyBorder="1" applyAlignment="1" applyProtection="1">
      <alignment horizontal="right" vertical="top" wrapText="1"/>
      <protection hidden="1"/>
    </xf>
    <xf numFmtId="170" fontId="11" fillId="0" borderId="17" xfId="8" applyNumberFormat="1" applyFont="1" applyFill="1" applyBorder="1" applyAlignment="1" applyProtection="1">
      <alignment horizontal="right" vertical="top" wrapText="1"/>
      <protection hidden="1"/>
    </xf>
    <xf numFmtId="170" fontId="11" fillId="0" borderId="16" xfId="8" applyNumberFormat="1" applyFont="1" applyFill="1" applyBorder="1" applyAlignment="1" applyProtection="1">
      <alignment horizontal="right" vertical="top" wrapText="1"/>
      <protection hidden="1"/>
    </xf>
    <xf numFmtId="170" fontId="11" fillId="0" borderId="15" xfId="8" applyNumberFormat="1" applyFont="1" applyFill="1" applyBorder="1" applyAlignment="1" applyProtection="1">
      <alignment horizontal="right" vertical="top" wrapText="1"/>
      <protection hidden="1"/>
    </xf>
    <xf numFmtId="0" fontId="6" fillId="21" borderId="0" xfId="0" applyFont="1" applyFill="1" applyBorder="1" applyAlignment="1" applyProtection="1">
      <alignment horizontal="left"/>
    </xf>
    <xf numFmtId="3" fontId="6" fillId="4" borderId="77" xfId="0" applyNumberFormat="1" applyFont="1" applyFill="1" applyBorder="1" applyAlignment="1" applyProtection="1">
      <alignment horizontal="right" vertical="top" wrapText="1"/>
      <protection hidden="1"/>
    </xf>
    <xf numFmtId="3" fontId="6" fillId="4" borderId="171" xfId="0" applyNumberFormat="1" applyFont="1" applyFill="1" applyBorder="1" applyAlignment="1" applyProtection="1">
      <alignment horizontal="right" vertical="top" wrapText="1"/>
      <protection hidden="1"/>
    </xf>
    <xf numFmtId="3" fontId="6" fillId="4" borderId="55" xfId="0" applyNumberFormat="1" applyFont="1" applyFill="1" applyBorder="1" applyAlignment="1" applyProtection="1">
      <alignment horizontal="right" vertical="top" wrapText="1"/>
      <protection hidden="1"/>
    </xf>
    <xf numFmtId="3" fontId="6" fillId="4" borderId="56" xfId="0" applyNumberFormat="1" applyFont="1" applyFill="1" applyBorder="1" applyAlignment="1" applyProtection="1">
      <alignment horizontal="right" vertical="top" wrapText="1"/>
      <protection hidden="1"/>
    </xf>
    <xf numFmtId="0" fontId="6" fillId="0" borderId="0" xfId="0" applyFont="1" applyFill="1" applyBorder="1" applyAlignment="1">
      <alignment vertical="top" wrapText="1"/>
    </xf>
    <xf numFmtId="3" fontId="6" fillId="4" borderId="172" xfId="0" applyNumberFormat="1" applyFont="1" applyFill="1" applyBorder="1" applyAlignment="1" applyProtection="1">
      <alignment horizontal="right" vertical="top" wrapText="1"/>
      <protection hidden="1"/>
    </xf>
    <xf numFmtId="3" fontId="6" fillId="4" borderId="173" xfId="0" applyNumberFormat="1" applyFont="1" applyFill="1" applyBorder="1" applyAlignment="1" applyProtection="1">
      <alignment horizontal="right" vertical="top" wrapText="1"/>
      <protection hidden="1"/>
    </xf>
    <xf numFmtId="3" fontId="6" fillId="4" borderId="102" xfId="0" applyNumberFormat="1" applyFont="1" applyFill="1" applyBorder="1" applyAlignment="1" applyProtection="1">
      <alignment horizontal="right" vertical="top" wrapText="1"/>
      <protection hidden="1"/>
    </xf>
    <xf numFmtId="3" fontId="6" fillId="4" borderId="169" xfId="0" applyNumberFormat="1" applyFont="1" applyFill="1" applyBorder="1" applyAlignment="1" applyProtection="1">
      <alignment horizontal="right" vertical="top" wrapText="1"/>
      <protection hidden="1"/>
    </xf>
    <xf numFmtId="38" fontId="6" fillId="4" borderId="174" xfId="0" applyNumberFormat="1" applyFont="1" applyFill="1" applyBorder="1" applyAlignment="1" applyProtection="1">
      <alignment horizontal="right" vertical="top"/>
      <protection hidden="1"/>
    </xf>
    <xf numFmtId="3" fontId="6" fillId="4" borderId="175" xfId="0" applyNumberFormat="1" applyFont="1" applyFill="1" applyBorder="1" applyAlignment="1" applyProtection="1">
      <alignment horizontal="right" vertical="top" wrapText="1"/>
      <protection hidden="1"/>
    </xf>
    <xf numFmtId="38" fontId="6" fillId="4" borderId="166" xfId="0" applyNumberFormat="1" applyFont="1" applyFill="1" applyBorder="1" applyAlignment="1" applyProtection="1">
      <alignment horizontal="right" vertical="top"/>
      <protection hidden="1"/>
    </xf>
    <xf numFmtId="38" fontId="7" fillId="4" borderId="176" xfId="0" applyNumberFormat="1" applyFont="1" applyFill="1" applyBorder="1" applyAlignment="1" applyProtection="1">
      <alignment horizontal="right" vertical="top"/>
      <protection hidden="1"/>
    </xf>
    <xf numFmtId="3" fontId="6" fillId="4" borderId="107" xfId="0" applyNumberFormat="1" applyFont="1" applyFill="1" applyBorder="1" applyAlignment="1" applyProtection="1">
      <alignment horizontal="right" vertical="top" wrapText="1"/>
      <protection hidden="1"/>
    </xf>
    <xf numFmtId="3" fontId="7" fillId="4" borderId="178" xfId="0" applyNumberFormat="1" applyFont="1" applyFill="1" applyBorder="1" applyAlignment="1" applyProtection="1">
      <alignment horizontal="right" vertical="top" wrapText="1"/>
      <protection hidden="1"/>
    </xf>
    <xf numFmtId="3" fontId="6" fillId="4" borderId="179" xfId="0" applyNumberFormat="1" applyFont="1" applyFill="1" applyBorder="1" applyAlignment="1" applyProtection="1">
      <alignment horizontal="right" vertical="top" wrapText="1"/>
      <protection hidden="1"/>
    </xf>
    <xf numFmtId="3" fontId="6" fillId="4" borderId="180" xfId="0" applyNumberFormat="1" applyFont="1" applyFill="1" applyBorder="1" applyAlignment="1" applyProtection="1">
      <alignment horizontal="right" vertical="top" wrapText="1"/>
      <protection hidden="1"/>
    </xf>
    <xf numFmtId="3" fontId="6" fillId="4" borderId="181" xfId="0" applyNumberFormat="1" applyFont="1" applyFill="1" applyBorder="1" applyAlignment="1" applyProtection="1">
      <alignment horizontal="right" vertical="top" wrapText="1"/>
      <protection hidden="1"/>
    </xf>
    <xf numFmtId="3" fontId="7" fillId="4" borderId="177" xfId="0" applyNumberFormat="1" applyFont="1" applyFill="1" applyBorder="1" applyAlignment="1" applyProtection="1">
      <alignment horizontal="right" vertical="top" wrapText="1"/>
      <protection hidden="1"/>
    </xf>
    <xf numFmtId="0" fontId="8" fillId="9" borderId="118" xfId="0" applyFont="1" applyFill="1" applyBorder="1" applyAlignment="1" applyProtection="1">
      <alignment horizontal="center" vertical="top" wrapText="1"/>
      <protection hidden="1"/>
    </xf>
    <xf numFmtId="0" fontId="8" fillId="9" borderId="119" xfId="0" applyFont="1" applyFill="1" applyBorder="1" applyAlignment="1" applyProtection="1">
      <alignment horizontal="center" vertical="top" wrapText="1"/>
      <protection hidden="1"/>
    </xf>
    <xf numFmtId="0" fontId="8" fillId="9" borderId="120" xfId="0" applyFont="1" applyFill="1" applyBorder="1" applyAlignment="1" applyProtection="1">
      <alignment horizontal="center" vertical="top" wrapText="1"/>
    </xf>
    <xf numFmtId="0" fontId="8" fillId="9" borderId="121" xfId="0" applyFont="1" applyFill="1" applyBorder="1" applyAlignment="1">
      <alignment horizontal="center" vertical="top" wrapText="1"/>
    </xf>
    <xf numFmtId="49" fontId="8" fillId="9" borderId="74" xfId="0" applyNumberFormat="1" applyFont="1" applyFill="1" applyBorder="1" applyAlignment="1" applyProtection="1">
      <alignment horizontal="center" vertical="top" wrapText="1"/>
      <protection hidden="1"/>
    </xf>
    <xf numFmtId="0" fontId="8" fillId="9" borderId="74" xfId="0" applyNumberFormat="1" applyFont="1" applyFill="1" applyBorder="1" applyAlignment="1" applyProtection="1">
      <alignment horizontal="center" vertical="top" wrapText="1"/>
      <protection hidden="1"/>
    </xf>
    <xf numFmtId="0" fontId="8" fillId="9" borderId="47" xfId="0" applyNumberFormat="1" applyFont="1" applyFill="1" applyBorder="1" applyAlignment="1" applyProtection="1">
      <alignment horizontal="center" vertical="top" wrapText="1"/>
      <protection hidden="1"/>
    </xf>
    <xf numFmtId="0" fontId="8" fillId="11" borderId="75" xfId="0" applyFont="1" applyFill="1" applyBorder="1" applyAlignment="1" applyProtection="1">
      <alignment horizontal="center" vertical="top" wrapText="1"/>
      <protection hidden="1"/>
    </xf>
    <xf numFmtId="0" fontId="8" fillId="10" borderId="76" xfId="0" applyFont="1" applyFill="1" applyBorder="1" applyAlignment="1" applyProtection="1">
      <alignment horizontal="center" vertical="top" wrapText="1"/>
      <protection hidden="1"/>
    </xf>
    <xf numFmtId="3" fontId="6" fillId="4" borderId="190" xfId="0" applyNumberFormat="1" applyFont="1" applyFill="1" applyBorder="1" applyAlignment="1" applyProtection="1">
      <alignment horizontal="right" vertical="top" wrapText="1"/>
      <protection hidden="1"/>
    </xf>
    <xf numFmtId="0" fontId="8" fillId="11" borderId="189" xfId="0" applyFont="1" applyFill="1" applyBorder="1" applyAlignment="1" applyProtection="1">
      <alignment horizontal="center" vertical="top" wrapText="1"/>
      <protection hidden="1"/>
    </xf>
    <xf numFmtId="3" fontId="6" fillId="4" borderId="192" xfId="0" applyNumberFormat="1" applyFont="1" applyFill="1" applyBorder="1" applyAlignment="1" applyProtection="1">
      <alignment horizontal="right" vertical="top" wrapText="1"/>
      <protection hidden="1"/>
    </xf>
    <xf numFmtId="0" fontId="8" fillId="10" borderId="191" xfId="0" applyFont="1" applyFill="1" applyBorder="1" applyAlignment="1" applyProtection="1">
      <alignment horizontal="center" vertical="top" wrapText="1"/>
      <protection hidden="1"/>
    </xf>
    <xf numFmtId="0" fontId="7" fillId="21" borderId="0" xfId="0" applyFont="1" applyFill="1" applyBorder="1" applyAlignment="1" applyProtection="1">
      <alignment horizontal="left"/>
    </xf>
    <xf numFmtId="14" fontId="0" fillId="0" borderId="0" xfId="0" applyNumberFormat="1"/>
    <xf numFmtId="165" fontId="0" fillId="0" borderId="0" xfId="0" applyNumberFormat="1"/>
    <xf numFmtId="0" fontId="0" fillId="0" borderId="0" xfId="0" applyNumberFormat="1"/>
    <xf numFmtId="0" fontId="52" fillId="0" borderId="0" xfId="0" applyFont="1"/>
    <xf numFmtId="165" fontId="0" fillId="0" borderId="170" xfId="0" applyNumberFormat="1" applyFont="1" applyBorder="1"/>
    <xf numFmtId="0" fontId="53" fillId="13" borderId="3" xfId="0" applyFont="1" applyFill="1" applyBorder="1"/>
    <xf numFmtId="3" fontId="0" fillId="0" borderId="0" xfId="0" applyNumberFormat="1"/>
    <xf numFmtId="0" fontId="54" fillId="21" borderId="0" xfId="0" applyFont="1" applyFill="1" applyAlignment="1" applyProtection="1">
      <alignment horizontal="left" vertical="top"/>
    </xf>
    <xf numFmtId="0" fontId="8" fillId="3" borderId="70" xfId="0" applyFont="1" applyFill="1" applyBorder="1" applyAlignment="1">
      <alignment horizontal="left" vertical="top" wrapText="1"/>
    </xf>
    <xf numFmtId="0" fontId="8" fillId="3" borderId="71" xfId="0" applyFont="1" applyFill="1" applyBorder="1" applyAlignment="1">
      <alignment horizontal="left" vertical="top" wrapText="1"/>
    </xf>
    <xf numFmtId="0" fontId="8" fillId="3" borderId="61" xfId="0" applyFont="1" applyFill="1" applyBorder="1" applyAlignment="1" applyProtection="1">
      <alignment horizontal="left" vertical="top" wrapText="1"/>
    </xf>
    <xf numFmtId="0" fontId="8" fillId="3" borderId="62" xfId="0" applyFont="1" applyFill="1" applyBorder="1" applyAlignment="1" applyProtection="1">
      <alignment horizontal="left" vertical="top" wrapText="1"/>
    </xf>
    <xf numFmtId="0" fontId="8" fillId="12" borderId="136" xfId="0" applyFont="1" applyFill="1" applyBorder="1" applyAlignment="1" applyProtection="1">
      <alignment vertical="center" wrapText="1"/>
    </xf>
    <xf numFmtId="0" fontId="8" fillId="9" borderId="119" xfId="0" applyFont="1" applyFill="1" applyBorder="1" applyAlignment="1" applyProtection="1">
      <alignment horizontal="center" vertical="top" wrapText="1"/>
    </xf>
    <xf numFmtId="0" fontId="8" fillId="12" borderId="121" xfId="0" applyFont="1" applyFill="1" applyBorder="1" applyAlignment="1">
      <alignment horizontal="center" vertical="top" wrapText="1"/>
    </xf>
    <xf numFmtId="0" fontId="8" fillId="24" borderId="124" xfId="0" applyFont="1" applyFill="1" applyBorder="1" applyAlignment="1" applyProtection="1">
      <alignment vertical="center" wrapText="1"/>
    </xf>
    <xf numFmtId="0" fontId="8" fillId="11" borderId="125" xfId="0" applyFont="1" applyFill="1" applyBorder="1" applyAlignment="1" applyProtection="1">
      <alignment horizontal="left" vertical="center" wrapText="1"/>
    </xf>
    <xf numFmtId="0" fontId="8" fillId="10" borderId="125" xfId="0" applyFont="1" applyFill="1" applyBorder="1" applyAlignment="1" applyProtection="1">
      <alignment horizontal="left" vertical="center" wrapText="1"/>
    </xf>
    <xf numFmtId="3" fontId="6" fillId="4" borderId="195" xfId="0" applyNumberFormat="1" applyFont="1" applyFill="1" applyBorder="1" applyAlignment="1" applyProtection="1">
      <alignment horizontal="right" vertical="top" wrapText="1"/>
      <protection hidden="1"/>
    </xf>
    <xf numFmtId="3" fontId="6" fillId="4" borderId="197" xfId="0" applyNumberFormat="1" applyFont="1" applyFill="1" applyBorder="1" applyAlignment="1" applyProtection="1">
      <alignment horizontal="right" vertical="top" wrapText="1"/>
      <protection hidden="1"/>
    </xf>
    <xf numFmtId="3" fontId="7" fillId="4" borderId="198" xfId="0" applyNumberFormat="1" applyFont="1" applyFill="1" applyBorder="1" applyAlignment="1" applyProtection="1">
      <alignment horizontal="right" vertical="top" wrapText="1"/>
      <protection hidden="1"/>
    </xf>
    <xf numFmtId="3" fontId="6" fillId="4" borderId="106" xfId="0" applyNumberFormat="1" applyFont="1" applyFill="1" applyBorder="1" applyAlignment="1" applyProtection="1">
      <alignment horizontal="right" vertical="top" wrapText="1"/>
      <protection hidden="1"/>
    </xf>
    <xf numFmtId="3" fontId="6" fillId="4" borderId="200" xfId="0" applyNumberFormat="1" applyFont="1" applyFill="1" applyBorder="1" applyAlignment="1" applyProtection="1">
      <alignment horizontal="right" vertical="top" wrapText="1"/>
      <protection hidden="1"/>
    </xf>
    <xf numFmtId="3" fontId="7" fillId="4" borderId="199" xfId="0" applyNumberFormat="1" applyFont="1" applyFill="1" applyBorder="1" applyAlignment="1" applyProtection="1">
      <alignment horizontal="right" vertical="top" wrapText="1"/>
      <protection hidden="1"/>
    </xf>
    <xf numFmtId="3" fontId="6" fillId="4" borderId="201" xfId="0" applyNumberFormat="1" applyFont="1" applyFill="1" applyBorder="1" applyAlignment="1" applyProtection="1">
      <alignment horizontal="right" vertical="top" wrapText="1"/>
      <protection hidden="1"/>
    </xf>
    <xf numFmtId="3" fontId="6" fillId="4" borderId="196" xfId="0" applyNumberFormat="1" applyFont="1" applyFill="1" applyBorder="1" applyAlignment="1" applyProtection="1">
      <alignment horizontal="right" vertical="top" wrapText="1"/>
      <protection hidden="1"/>
    </xf>
    <xf numFmtId="0" fontId="0" fillId="0" borderId="170" xfId="0" applyNumberFormat="1" applyFont="1" applyFill="1" applyBorder="1"/>
    <xf numFmtId="0" fontId="55" fillId="0" borderId="0" xfId="0" applyFont="1"/>
    <xf numFmtId="1" fontId="6" fillId="4" borderId="51" xfId="0" applyNumberFormat="1" applyFont="1" applyFill="1" applyBorder="1" applyAlignment="1" applyProtection="1">
      <alignment horizontal="center" vertical="top" wrapText="1"/>
      <protection hidden="1"/>
    </xf>
    <xf numFmtId="38" fontId="6" fillId="0" borderId="55" xfId="0" applyNumberFormat="1" applyFont="1" applyFill="1" applyBorder="1" applyAlignment="1" applyProtection="1">
      <alignment horizontal="left" vertical="top" wrapText="1"/>
      <protection locked="0"/>
    </xf>
    <xf numFmtId="0" fontId="0" fillId="0" borderId="56" xfId="0" applyBorder="1" applyAlignment="1">
      <alignment horizontal="left" vertical="top" wrapText="1"/>
    </xf>
    <xf numFmtId="0" fontId="0" fillId="0" borderId="54" xfId="0" applyBorder="1" applyAlignment="1">
      <alignment horizontal="left" vertical="top" wrapText="1"/>
    </xf>
    <xf numFmtId="38" fontId="6" fillId="0" borderId="88" xfId="0" applyNumberFormat="1" applyFont="1" applyFill="1" applyBorder="1" applyAlignment="1" applyProtection="1">
      <alignment horizontal="left" vertical="top" wrapText="1"/>
      <protection locked="0"/>
    </xf>
    <xf numFmtId="0" fontId="0" fillId="0" borderId="73" xfId="0" applyBorder="1" applyAlignment="1">
      <alignment horizontal="left" vertical="top" wrapText="1"/>
    </xf>
    <xf numFmtId="0" fontId="0" fillId="0" borderId="72" xfId="0" applyBorder="1" applyAlignment="1">
      <alignment horizontal="left" vertical="top" wrapText="1"/>
    </xf>
    <xf numFmtId="38" fontId="6" fillId="6" borderId="55" xfId="0" applyNumberFormat="1" applyFont="1" applyFill="1" applyBorder="1" applyAlignment="1" applyProtection="1">
      <alignment horizontal="left" vertical="top" wrapText="1"/>
      <protection locked="0"/>
    </xf>
    <xf numFmtId="0" fontId="49" fillId="21" borderId="0" xfId="0" applyFont="1" applyFill="1" applyBorder="1" applyAlignment="1" applyProtection="1">
      <alignment horizontal="left" vertical="top" wrapText="1"/>
    </xf>
    <xf numFmtId="0" fontId="51" fillId="21" borderId="0" xfId="0" applyFont="1" applyFill="1" applyBorder="1" applyAlignment="1" applyProtection="1">
      <alignment horizontal="left" vertical="top" wrapText="1"/>
    </xf>
    <xf numFmtId="0" fontId="6" fillId="6" borderId="55" xfId="0" applyFont="1" applyFill="1" applyBorder="1" applyAlignment="1" applyProtection="1">
      <alignment horizontal="left" vertical="top" wrapText="1"/>
      <protection locked="0"/>
    </xf>
    <xf numFmtId="0" fontId="6" fillId="6" borderId="56" xfId="0" applyFont="1" applyFill="1" applyBorder="1" applyAlignment="1" applyProtection="1">
      <alignment horizontal="left" vertical="top" wrapText="1"/>
      <protection locked="0"/>
    </xf>
    <xf numFmtId="0" fontId="6" fillId="6" borderId="54" xfId="0" applyFont="1" applyFill="1" applyBorder="1" applyAlignment="1" applyProtection="1">
      <alignment horizontal="left" vertical="top" wrapText="1"/>
      <protection locked="0"/>
    </xf>
    <xf numFmtId="0" fontId="10" fillId="4" borderId="51" xfId="0" applyFont="1" applyFill="1" applyBorder="1" applyAlignment="1" applyProtection="1">
      <alignment horizontal="left" vertical="top" wrapText="1"/>
    </xf>
    <xf numFmtId="0" fontId="7" fillId="4" borderId="51" xfId="0" applyFont="1" applyFill="1" applyBorder="1" applyAlignment="1" applyProtection="1">
      <alignment horizontal="left" vertical="top" wrapText="1"/>
    </xf>
    <xf numFmtId="0" fontId="7" fillId="2" borderId="51" xfId="0" applyFont="1" applyFill="1" applyBorder="1" applyAlignment="1" applyProtection="1">
      <alignment horizontal="left" vertical="top" wrapText="1"/>
    </xf>
    <xf numFmtId="0" fontId="6" fillId="4" borderId="55" xfId="0" applyFont="1" applyFill="1" applyBorder="1" applyAlignment="1" applyProtection="1">
      <alignment horizontal="left" vertical="top" wrapText="1"/>
      <protection locked="0"/>
    </xf>
    <xf numFmtId="0" fontId="6" fillId="4" borderId="56" xfId="0" applyFont="1" applyFill="1" applyBorder="1" applyAlignment="1" applyProtection="1">
      <alignment horizontal="left" vertical="top" wrapText="1"/>
      <protection locked="0"/>
    </xf>
    <xf numFmtId="0" fontId="6" fillId="4" borderId="54" xfId="0" applyFont="1" applyFill="1" applyBorder="1" applyAlignment="1" applyProtection="1">
      <alignment horizontal="left" vertical="top" wrapText="1"/>
      <protection locked="0"/>
    </xf>
    <xf numFmtId="0" fontId="10" fillId="4" borderId="51" xfId="0" applyFont="1" applyFill="1" applyBorder="1" applyAlignment="1" applyProtection="1">
      <alignment horizontal="left" vertical="top"/>
    </xf>
    <xf numFmtId="0" fontId="2" fillId="21" borderId="0" xfId="0" applyFont="1" applyFill="1" applyBorder="1" applyAlignment="1" applyProtection="1">
      <alignment horizontal="left" vertical="center" wrapText="1"/>
    </xf>
    <xf numFmtId="0" fontId="2" fillId="21" borderId="0" xfId="0" applyFont="1" applyFill="1" applyBorder="1" applyAlignment="1" applyProtection="1">
      <alignment horizontal="left" vertical="center"/>
    </xf>
    <xf numFmtId="0" fontId="8" fillId="14" borderId="7" xfId="0" applyFont="1" applyFill="1" applyBorder="1" applyAlignment="1" applyProtection="1">
      <alignment horizontal="left" vertical="top" wrapText="1"/>
    </xf>
    <xf numFmtId="0" fontId="8" fillId="14" borderId="6" xfId="0" applyFont="1" applyFill="1" applyBorder="1" applyAlignment="1" applyProtection="1">
      <alignment horizontal="left" vertical="top" wrapText="1"/>
    </xf>
    <xf numFmtId="1" fontId="6" fillId="0" borderId="52" xfId="0" applyNumberFormat="1" applyFont="1" applyFill="1" applyBorder="1" applyAlignment="1" applyProtection="1">
      <alignment horizontal="right" vertical="top" wrapText="1"/>
      <protection locked="0"/>
    </xf>
    <xf numFmtId="1" fontId="6" fillId="0" borderId="51" xfId="0" applyNumberFormat="1" applyFont="1" applyFill="1" applyBorder="1" applyAlignment="1" applyProtection="1">
      <alignment horizontal="right" vertical="top" wrapText="1"/>
      <protection locked="0"/>
    </xf>
    <xf numFmtId="14" fontId="8" fillId="14" borderId="8" xfId="0" applyNumberFormat="1" applyFont="1" applyFill="1" applyBorder="1" applyAlignment="1" applyProtection="1">
      <alignment horizontal="left" vertical="top" wrapText="1"/>
    </xf>
    <xf numFmtId="14" fontId="8" fillId="14" borderId="7" xfId="0" applyNumberFormat="1" applyFont="1" applyFill="1" applyBorder="1" applyAlignment="1" applyProtection="1">
      <alignment horizontal="left" vertical="top" wrapText="1"/>
    </xf>
    <xf numFmtId="14" fontId="8" fillId="14" borderId="6" xfId="0" applyNumberFormat="1" applyFont="1" applyFill="1" applyBorder="1" applyAlignment="1" applyProtection="1">
      <alignment horizontal="left" vertical="top" wrapText="1"/>
    </xf>
    <xf numFmtId="49" fontId="6" fillId="0" borderId="52" xfId="0" applyNumberFormat="1" applyFont="1" applyBorder="1" applyAlignment="1" applyProtection="1">
      <alignment horizontal="left" vertical="top" wrapText="1"/>
      <protection locked="0"/>
    </xf>
    <xf numFmtId="49" fontId="6" fillId="0" borderId="51" xfId="0" applyNumberFormat="1" applyFont="1" applyBorder="1" applyAlignment="1" applyProtection="1">
      <alignment horizontal="left" vertical="top" wrapText="1"/>
      <protection locked="0"/>
    </xf>
    <xf numFmtId="49" fontId="47" fillId="0" borderId="51" xfId="0" applyNumberFormat="1" applyFont="1" applyBorder="1" applyAlignment="1" applyProtection="1">
      <alignment horizontal="left" vertical="top" wrapText="1"/>
      <protection locked="0"/>
    </xf>
    <xf numFmtId="0" fontId="6" fillId="0" borderId="51" xfId="0" applyFont="1" applyFill="1" applyBorder="1" applyAlignment="1" applyProtection="1">
      <alignment horizontal="left" vertical="top" wrapText="1"/>
      <protection locked="0" hidden="1"/>
    </xf>
    <xf numFmtId="0" fontId="6" fillId="0" borderId="51" xfId="0" applyNumberFormat="1" applyFont="1" applyFill="1" applyBorder="1" applyAlignment="1" applyProtection="1">
      <alignment horizontal="left" vertical="top" wrapText="1"/>
      <protection locked="0" hidden="1"/>
    </xf>
    <xf numFmtId="0" fontId="6" fillId="0" borderId="51" xfId="0" applyFont="1" applyFill="1" applyBorder="1" applyAlignment="1" applyProtection="1">
      <alignment horizontal="left" vertical="top" wrapText="1"/>
      <protection locked="0"/>
    </xf>
    <xf numFmtId="167" fontId="6" fillId="0" borderId="51" xfId="0" applyNumberFormat="1" applyFont="1" applyFill="1" applyBorder="1" applyAlignment="1" applyProtection="1">
      <alignment horizontal="left" vertical="top" wrapText="1"/>
      <protection locked="0" hidden="1"/>
    </xf>
    <xf numFmtId="0" fontId="11" fillId="4" borderId="51" xfId="2" applyFont="1" applyFill="1" applyBorder="1" applyAlignment="1" applyProtection="1">
      <alignment horizontal="left" vertical="top" wrapText="1"/>
    </xf>
    <xf numFmtId="0" fontId="34" fillId="21" borderId="0" xfId="0" applyFont="1" applyFill="1" applyAlignment="1" applyProtection="1">
      <alignment horizontal="left" vertical="top"/>
    </xf>
    <xf numFmtId="0" fontId="27" fillId="21" borderId="0" xfId="0" applyFont="1" applyFill="1" applyAlignment="1" applyProtection="1">
      <alignment horizontal="left" vertical="top"/>
    </xf>
    <xf numFmtId="0" fontId="6" fillId="21" borderId="0" xfId="0" applyFont="1" applyFill="1" applyAlignment="1" applyProtection="1">
      <alignment horizontal="left" vertical="top"/>
    </xf>
    <xf numFmtId="0" fontId="8" fillId="24" borderId="193" xfId="0" applyFont="1" applyFill="1" applyBorder="1" applyAlignment="1" applyProtection="1">
      <alignment horizontal="center" vertical="center"/>
      <protection hidden="1"/>
    </xf>
    <xf numFmtId="0" fontId="8" fillId="24" borderId="194" xfId="0" applyFont="1" applyFill="1" applyBorder="1" applyAlignment="1" applyProtection="1">
      <alignment horizontal="center" vertical="center"/>
      <protection hidden="1"/>
    </xf>
    <xf numFmtId="0" fontId="11" fillId="4" borderId="55" xfId="0" applyFont="1" applyFill="1" applyBorder="1" applyAlignment="1" applyProtection="1">
      <alignment horizontal="left" vertical="top" wrapText="1"/>
      <protection hidden="1"/>
    </xf>
    <xf numFmtId="0" fontId="11" fillId="4" borderId="54" xfId="0" applyFont="1" applyFill="1" applyBorder="1" applyAlignment="1" applyProtection="1">
      <alignment horizontal="left" vertical="top" wrapText="1"/>
      <protection hidden="1"/>
    </xf>
    <xf numFmtId="167" fontId="6" fillId="4" borderId="182" xfId="0" applyNumberFormat="1" applyFont="1" applyFill="1" applyBorder="1" applyAlignment="1" applyProtection="1">
      <alignment horizontal="center" vertical="top" wrapText="1"/>
      <protection hidden="1"/>
    </xf>
    <xf numFmtId="167" fontId="6" fillId="4" borderId="187" xfId="0" applyNumberFormat="1" applyFont="1" applyFill="1" applyBorder="1" applyAlignment="1" applyProtection="1">
      <alignment horizontal="center" vertical="top" wrapText="1"/>
      <protection hidden="1"/>
    </xf>
    <xf numFmtId="173" fontId="11" fillId="4" borderId="104" xfId="8" applyNumberFormat="1" applyFont="1" applyFill="1" applyBorder="1" applyAlignment="1" applyProtection="1">
      <alignment horizontal="right" vertical="top"/>
      <protection hidden="1"/>
    </xf>
    <xf numFmtId="173" fontId="10" fillId="4" borderId="103" xfId="8" applyNumberFormat="1" applyFont="1" applyFill="1" applyBorder="1" applyAlignment="1" applyProtection="1">
      <alignment horizontal="right" vertical="top"/>
      <protection hidden="1"/>
    </xf>
    <xf numFmtId="173" fontId="10" fillId="4" borderId="104" xfId="8" applyNumberFormat="1" applyFont="1" applyFill="1" applyBorder="1" applyAlignment="1" applyProtection="1">
      <alignment horizontal="right" vertical="top"/>
      <protection hidden="1"/>
    </xf>
    <xf numFmtId="173" fontId="11" fillId="4" borderId="103" xfId="8" applyNumberFormat="1" applyFont="1" applyFill="1" applyBorder="1" applyAlignment="1" applyProtection="1">
      <alignment horizontal="right" vertical="top"/>
      <protection hidden="1"/>
    </xf>
    <xf numFmtId="0" fontId="8" fillId="24" borderId="106" xfId="0" applyFont="1" applyFill="1" applyBorder="1" applyAlignment="1" applyProtection="1">
      <alignment horizontal="center" vertical="center"/>
      <protection hidden="1"/>
    </xf>
    <xf numFmtId="0" fontId="6" fillId="4" borderId="51" xfId="0" applyFont="1" applyFill="1" applyBorder="1" applyAlignment="1" applyProtection="1">
      <alignment horizontal="left" vertical="top" wrapText="1"/>
      <protection hidden="1"/>
    </xf>
    <xf numFmtId="167" fontId="6" fillId="4" borderId="103" xfId="0" applyNumberFormat="1" applyFont="1" applyFill="1" applyBorder="1" applyAlignment="1" applyProtection="1">
      <alignment horizontal="center" vertical="top" wrapText="1"/>
      <protection hidden="1"/>
    </xf>
    <xf numFmtId="0" fontId="43" fillId="21" borderId="3" xfId="0" applyFont="1" applyFill="1" applyBorder="1" applyAlignment="1" applyProtection="1">
      <alignment horizontal="left" vertical="center" wrapText="1"/>
    </xf>
    <xf numFmtId="173" fontId="10" fillId="4" borderId="114" xfId="8" applyNumberFormat="1" applyFont="1" applyFill="1" applyBorder="1" applyAlignment="1" applyProtection="1">
      <alignment horizontal="right" vertical="top"/>
      <protection hidden="1"/>
    </xf>
    <xf numFmtId="173" fontId="10" fillId="21" borderId="0" xfId="8" applyNumberFormat="1" applyFont="1" applyFill="1" applyBorder="1" applyAlignment="1" applyProtection="1">
      <alignment horizontal="right" vertical="top"/>
      <protection hidden="1"/>
    </xf>
    <xf numFmtId="173" fontId="11" fillId="4" borderId="184" xfId="8" applyNumberFormat="1" applyFont="1" applyFill="1" applyBorder="1" applyAlignment="1" applyProtection="1">
      <alignment horizontal="right" vertical="top"/>
      <protection hidden="1"/>
    </xf>
    <xf numFmtId="173" fontId="11" fillId="4" borderId="188" xfId="8" applyNumberFormat="1" applyFont="1" applyFill="1" applyBorder="1" applyAlignment="1" applyProtection="1">
      <alignment horizontal="right" vertical="top"/>
      <protection hidden="1"/>
    </xf>
    <xf numFmtId="173" fontId="11" fillId="4" borderId="182" xfId="8" applyNumberFormat="1" applyFont="1" applyFill="1" applyBorder="1" applyAlignment="1" applyProtection="1">
      <alignment horizontal="right" vertical="top"/>
      <protection hidden="1"/>
    </xf>
    <xf numFmtId="173" fontId="11" fillId="4" borderId="187" xfId="8" applyNumberFormat="1" applyFont="1" applyFill="1" applyBorder="1" applyAlignment="1" applyProtection="1">
      <alignment horizontal="right" vertical="top"/>
      <protection hidden="1"/>
    </xf>
    <xf numFmtId="0" fontId="8" fillId="24" borderId="107" xfId="0" applyFont="1" applyFill="1" applyBorder="1" applyAlignment="1" applyProtection="1">
      <alignment horizontal="center" vertical="center"/>
      <protection hidden="1"/>
    </xf>
    <xf numFmtId="0" fontId="6" fillId="4" borderId="55" xfId="0" applyFont="1" applyFill="1" applyBorder="1" applyAlignment="1" applyProtection="1">
      <alignment horizontal="left" vertical="top" wrapText="1"/>
      <protection hidden="1"/>
    </xf>
    <xf numFmtId="0" fontId="6" fillId="4" borderId="186" xfId="0" applyFont="1" applyFill="1" applyBorder="1" applyAlignment="1" applyProtection="1">
      <alignment horizontal="left" vertical="top" wrapText="1"/>
      <protection hidden="1"/>
    </xf>
    <xf numFmtId="167" fontId="6" fillId="4" borderId="183" xfId="0" applyNumberFormat="1" applyFont="1" applyFill="1" applyBorder="1" applyAlignment="1" applyProtection="1">
      <alignment horizontal="center" vertical="top" wrapText="1"/>
      <protection hidden="1"/>
    </xf>
    <xf numFmtId="173" fontId="11" fillId="4" borderId="185" xfId="8" applyNumberFormat="1" applyFont="1" applyFill="1" applyBorder="1" applyAlignment="1" applyProtection="1">
      <alignment horizontal="right" vertical="top"/>
      <protection hidden="1"/>
    </xf>
    <xf numFmtId="173" fontId="11" fillId="4" borderId="183" xfId="8" applyNumberFormat="1" applyFont="1" applyFill="1" applyBorder="1" applyAlignment="1" applyProtection="1">
      <alignment horizontal="right" vertical="top"/>
      <protection hidden="1"/>
    </xf>
    <xf numFmtId="173" fontId="10" fillId="4" borderId="112" xfId="8" applyNumberFormat="1" applyFont="1" applyFill="1" applyBorder="1" applyAlignment="1" applyProtection="1">
      <alignment horizontal="right" vertical="top"/>
      <protection hidden="1"/>
    </xf>
    <xf numFmtId="173" fontId="10" fillId="4" borderId="115" xfId="8" applyNumberFormat="1" applyFont="1" applyFill="1" applyBorder="1" applyAlignment="1" applyProtection="1">
      <alignment horizontal="right" vertical="top"/>
      <protection hidden="1"/>
    </xf>
    <xf numFmtId="0" fontId="8" fillId="11" borderId="138" xfId="0" applyFont="1" applyFill="1" applyBorder="1" applyAlignment="1" applyProtection="1">
      <alignment horizontal="center" vertical="center"/>
    </xf>
    <xf numFmtId="0" fontId="0" fillId="0" borderId="3" xfId="0" applyBorder="1" applyAlignment="1">
      <alignment horizontal="center" vertical="center"/>
    </xf>
    <xf numFmtId="0" fontId="8" fillId="10" borderId="3" xfId="0" applyFont="1" applyFill="1" applyBorder="1" applyAlignment="1" applyProtection="1">
      <alignment horizontal="center" vertical="center"/>
    </xf>
    <xf numFmtId="0" fontId="8" fillId="12" borderId="116" xfId="0" applyFont="1" applyFill="1" applyBorder="1" applyAlignment="1" applyProtection="1">
      <alignment horizontal="center" vertical="center"/>
    </xf>
    <xf numFmtId="0" fontId="8" fillId="12" borderId="3" xfId="0" applyFont="1" applyFill="1" applyBorder="1" applyAlignment="1" applyProtection="1">
      <alignment horizontal="center" vertical="center"/>
    </xf>
    <xf numFmtId="0" fontId="0" fillId="0" borderId="3" xfId="0" applyBorder="1" applyAlignment="1"/>
    <xf numFmtId="0" fontId="0" fillId="0" borderId="117" xfId="0" applyBorder="1" applyAlignment="1"/>
    <xf numFmtId="0" fontId="8" fillId="24" borderId="122" xfId="0" applyFont="1" applyFill="1" applyBorder="1" applyAlignment="1" applyProtection="1">
      <alignment horizontal="center" vertical="center"/>
    </xf>
    <xf numFmtId="0" fontId="0" fillId="0" borderId="122" xfId="0" applyBorder="1" applyAlignment="1"/>
    <xf numFmtId="0" fontId="0" fillId="0" borderId="123" xfId="0" applyBorder="1" applyAlignment="1"/>
    <xf numFmtId="0" fontId="8" fillId="3" borderId="70" xfId="0" applyFont="1" applyFill="1" applyBorder="1" applyAlignment="1">
      <alignment horizontal="left" vertical="top" wrapText="1"/>
    </xf>
    <xf numFmtId="0" fontId="0" fillId="0" borderId="70" xfId="0" applyBorder="1" applyAlignment="1">
      <alignment horizontal="left" vertical="top" wrapText="1"/>
    </xf>
    <xf numFmtId="0" fontId="8" fillId="3" borderId="60" xfId="0" applyFont="1" applyFill="1" applyBorder="1" applyAlignment="1" applyProtection="1">
      <alignment horizontal="left" vertical="top" wrapText="1"/>
    </xf>
    <xf numFmtId="0" fontId="0" fillId="0" borderId="61" xfId="0" applyBorder="1" applyAlignment="1">
      <alignment horizontal="left" vertical="top" wrapText="1"/>
    </xf>
    <xf numFmtId="173" fontId="11" fillId="21" borderId="0" xfId="8" applyNumberFormat="1" applyFont="1" applyFill="1" applyBorder="1" applyAlignment="1" applyProtection="1">
      <alignment horizontal="right" vertical="top"/>
      <protection hidden="1"/>
    </xf>
    <xf numFmtId="38" fontId="6" fillId="6" borderId="89" xfId="0" applyNumberFormat="1" applyFont="1" applyFill="1" applyBorder="1" applyAlignment="1" applyProtection="1">
      <alignment horizontal="left" vertical="top" wrapText="1"/>
      <protection locked="0"/>
    </xf>
    <xf numFmtId="0" fontId="0" fillId="0" borderId="90" xfId="0" applyBorder="1" applyAlignment="1">
      <alignment horizontal="left" vertical="top" wrapText="1"/>
    </xf>
    <xf numFmtId="0" fontId="0" fillId="0" borderId="91" xfId="0" applyBorder="1" applyAlignment="1">
      <alignment horizontal="left" vertical="top" wrapText="1"/>
    </xf>
    <xf numFmtId="0" fontId="48" fillId="24" borderId="157" xfId="0" applyFont="1" applyFill="1" applyBorder="1" applyAlignment="1" applyProtection="1">
      <alignment horizontal="center"/>
      <protection hidden="1"/>
    </xf>
    <xf numFmtId="0" fontId="48" fillId="24" borderId="158" xfId="0" applyFont="1" applyFill="1" applyBorder="1" applyAlignment="1" applyProtection="1">
      <alignment horizontal="center"/>
      <protection hidden="1"/>
    </xf>
    <xf numFmtId="0" fontId="48" fillId="24" borderId="159" xfId="0" applyFont="1" applyFill="1" applyBorder="1" applyAlignment="1" applyProtection="1">
      <alignment horizontal="center"/>
      <protection hidden="1"/>
    </xf>
    <xf numFmtId="171" fontId="26" fillId="0" borderId="12" xfId="0" applyNumberFormat="1" applyFont="1" applyFill="1" applyBorder="1" applyAlignment="1" applyProtection="1">
      <alignment horizontal="left" vertical="top" wrapText="1"/>
      <protection hidden="1"/>
    </xf>
    <xf numFmtId="171" fontId="26" fillId="0" borderId="30" xfId="0" applyNumberFormat="1" applyFont="1" applyFill="1" applyBorder="1" applyAlignment="1" applyProtection="1">
      <alignment horizontal="left" vertical="top" wrapText="1"/>
      <protection hidden="1"/>
    </xf>
    <xf numFmtId="0" fontId="8" fillId="24" borderId="0" xfId="0" applyFont="1" applyFill="1" applyBorder="1" applyAlignment="1" applyProtection="1">
      <alignment horizontal="left" vertical="center"/>
      <protection hidden="1"/>
    </xf>
    <xf numFmtId="0" fontId="8" fillId="24" borderId="23" xfId="0" applyFont="1" applyFill="1" applyBorder="1" applyAlignment="1" applyProtection="1">
      <alignment horizontal="left" vertical="center"/>
      <protection hidden="1"/>
    </xf>
    <xf numFmtId="171" fontId="26" fillId="0" borderId="10" xfId="0" applyNumberFormat="1" applyFont="1" applyFill="1" applyBorder="1" applyAlignment="1" applyProtection="1">
      <alignment horizontal="left" vertical="top" wrapText="1"/>
      <protection hidden="1"/>
    </xf>
    <xf numFmtId="171" fontId="26" fillId="0" borderId="24" xfId="0" applyNumberFormat="1" applyFont="1" applyFill="1" applyBorder="1" applyAlignment="1" applyProtection="1">
      <alignment horizontal="left" vertical="top" wrapText="1"/>
      <protection hidden="1"/>
    </xf>
    <xf numFmtId="0" fontId="21" fillId="0" borderId="0" xfId="0" applyFont="1" applyBorder="1" applyAlignment="1" applyProtection="1">
      <alignment horizontal="left" vertical="top" wrapText="1"/>
      <protection hidden="1"/>
    </xf>
    <xf numFmtId="0" fontId="19" fillId="24" borderId="0" xfId="0" applyFont="1" applyFill="1" applyBorder="1" applyAlignment="1" applyProtection="1">
      <alignment horizontal="center" vertical="center"/>
      <protection hidden="1"/>
    </xf>
    <xf numFmtId="0" fontId="25" fillId="18" borderId="0" xfId="0" applyFont="1" applyFill="1" applyBorder="1" applyAlignment="1" applyProtection="1">
      <alignment horizontal="center" vertical="center" wrapText="1"/>
      <protection hidden="1"/>
    </xf>
    <xf numFmtId="0" fontId="45" fillId="0" borderId="0" xfId="0" applyFont="1" applyBorder="1" applyAlignment="1" applyProtection="1">
      <alignment horizontal="left" vertical="top" wrapText="1"/>
      <protection hidden="1"/>
    </xf>
    <xf numFmtId="0" fontId="8" fillId="19" borderId="20" xfId="0" applyFont="1" applyFill="1" applyBorder="1" applyAlignment="1" applyProtection="1">
      <alignment horizontal="left" vertical="top" wrapText="1"/>
      <protection hidden="1"/>
    </xf>
    <xf numFmtId="0" fontId="6" fillId="0" borderId="132" xfId="0" applyNumberFormat="1" applyFont="1" applyBorder="1" applyAlignment="1" applyProtection="1">
      <alignment horizontal="left" vertical="top" wrapText="1"/>
      <protection hidden="1"/>
    </xf>
    <xf numFmtId="0" fontId="6" fillId="0" borderId="131" xfId="0" applyNumberFormat="1" applyFont="1" applyBorder="1" applyAlignment="1" applyProtection="1">
      <alignment horizontal="left" vertical="top" wrapText="1"/>
      <protection hidden="1"/>
    </xf>
    <xf numFmtId="0" fontId="6" fillId="0" borderId="133" xfId="0" applyNumberFormat="1" applyFont="1" applyBorder="1" applyAlignment="1" applyProtection="1">
      <alignment horizontal="left" vertical="top" wrapText="1"/>
      <protection hidden="1"/>
    </xf>
    <xf numFmtId="0" fontId="6" fillId="0" borderId="128" xfId="0" applyNumberFormat="1" applyFont="1" applyBorder="1" applyAlignment="1" applyProtection="1">
      <alignment horizontal="left" vertical="top" wrapText="1"/>
      <protection hidden="1"/>
    </xf>
    <xf numFmtId="0" fontId="6" fillId="0" borderId="15" xfId="0" applyNumberFormat="1" applyFont="1" applyBorder="1" applyAlignment="1" applyProtection="1">
      <alignment horizontal="left" vertical="top" wrapText="1"/>
      <protection hidden="1"/>
    </xf>
    <xf numFmtId="0" fontId="6" fillId="0" borderId="127" xfId="0" applyNumberFormat="1" applyFont="1" applyBorder="1" applyAlignment="1" applyProtection="1">
      <alignment horizontal="left" vertical="top" wrapText="1"/>
      <protection hidden="1"/>
    </xf>
    <xf numFmtId="0" fontId="6" fillId="0" borderId="146" xfId="0" applyNumberFormat="1" applyFont="1" applyBorder="1" applyAlignment="1" applyProtection="1">
      <alignment horizontal="left" vertical="top" wrapText="1"/>
      <protection hidden="1"/>
    </xf>
    <xf numFmtId="0" fontId="6" fillId="0" borderId="16" xfId="0" applyNumberFormat="1" applyFont="1" applyBorder="1" applyAlignment="1" applyProtection="1">
      <alignment horizontal="left" vertical="top" wrapText="1"/>
      <protection hidden="1"/>
    </xf>
    <xf numFmtId="0" fontId="6" fillId="0" borderId="144" xfId="0" applyNumberFormat="1" applyFont="1" applyBorder="1" applyAlignment="1" applyProtection="1">
      <alignment horizontal="left" vertical="top" wrapText="1"/>
      <protection hidden="1"/>
    </xf>
    <xf numFmtId="0" fontId="8" fillId="24" borderId="0" xfId="0" applyNumberFormat="1" applyFont="1" applyFill="1" applyBorder="1" applyAlignment="1" applyProtection="1">
      <alignment horizontal="center" vertical="top" wrapText="1"/>
      <protection hidden="1"/>
    </xf>
    <xf numFmtId="0" fontId="31" fillId="0" borderId="0" xfId="0" applyFont="1" applyFill="1" applyBorder="1" applyAlignment="1" applyProtection="1">
      <alignment horizontal="left" vertical="top" wrapText="1"/>
      <protection hidden="1"/>
    </xf>
    <xf numFmtId="3" fontId="8" fillId="24" borderId="0" xfId="0" applyNumberFormat="1" applyFont="1" applyFill="1" applyBorder="1" applyAlignment="1" applyProtection="1">
      <alignment horizontal="center" vertical="top" wrapText="1"/>
      <protection hidden="1"/>
    </xf>
    <xf numFmtId="0" fontId="8" fillId="19" borderId="0" xfId="0" applyFont="1" applyFill="1" applyBorder="1" applyAlignment="1" applyProtection="1">
      <alignment horizontal="left" vertical="top" wrapText="1"/>
      <protection hidden="1"/>
    </xf>
    <xf numFmtId="0" fontId="6" fillId="0" borderId="147" xfId="0" applyNumberFormat="1" applyFont="1" applyBorder="1" applyAlignment="1" applyProtection="1">
      <alignment horizontal="left" vertical="top" wrapText="1"/>
      <protection hidden="1"/>
    </xf>
    <xf numFmtId="0" fontId="6" fillId="0" borderId="14" xfId="0" applyNumberFormat="1" applyFont="1" applyBorder="1" applyAlignment="1" applyProtection="1">
      <alignment horizontal="left" vertical="top" wrapText="1"/>
      <protection hidden="1"/>
    </xf>
    <xf numFmtId="0" fontId="6" fillId="0" borderId="143" xfId="0" applyNumberFormat="1" applyFont="1" applyBorder="1" applyAlignment="1" applyProtection="1">
      <alignment horizontal="left" vertical="top" wrapText="1"/>
      <protection hidden="1"/>
    </xf>
    <xf numFmtId="0" fontId="6" fillId="5" borderId="37" xfId="0" applyFont="1" applyFill="1" applyBorder="1" applyAlignment="1" applyProtection="1">
      <alignment horizontal="left" vertical="top" wrapText="1"/>
    </xf>
    <xf numFmtId="0" fontId="6" fillId="5" borderId="1" xfId="0" applyFont="1" applyFill="1" applyBorder="1" applyAlignment="1" applyProtection="1">
      <alignment horizontal="left" vertical="top" wrapText="1"/>
    </xf>
    <xf numFmtId="167" fontId="6" fillId="5" borderId="38" xfId="0" applyNumberFormat="1" applyFont="1" applyFill="1" applyBorder="1" applyAlignment="1" applyProtection="1">
      <alignment horizontal="right" vertical="center"/>
    </xf>
    <xf numFmtId="0" fontId="6" fillId="5" borderId="43" xfId="0" applyFont="1" applyFill="1" applyBorder="1" applyAlignment="1" applyProtection="1">
      <alignment horizontal="left" vertical="top" wrapText="1"/>
    </xf>
    <xf numFmtId="0" fontId="6" fillId="5" borderId="44" xfId="0" applyFont="1" applyFill="1" applyBorder="1" applyAlignment="1" applyProtection="1">
      <alignment horizontal="left" vertical="top" wrapText="1"/>
    </xf>
    <xf numFmtId="0" fontId="7" fillId="5" borderId="31" xfId="0" applyFont="1" applyFill="1" applyBorder="1" applyAlignment="1" applyProtection="1">
      <alignment horizontal="center" vertical="center"/>
    </xf>
    <xf numFmtId="0" fontId="7" fillId="5" borderId="32" xfId="0" applyFont="1" applyFill="1" applyBorder="1" applyAlignment="1" applyProtection="1">
      <alignment horizontal="center" vertical="center"/>
    </xf>
    <xf numFmtId="0" fontId="7" fillId="5" borderId="33" xfId="0" applyFont="1" applyFill="1" applyBorder="1" applyAlignment="1" applyProtection="1">
      <alignment horizontal="center" vertical="center"/>
    </xf>
    <xf numFmtId="0" fontId="7" fillId="5" borderId="34" xfId="0" applyFont="1" applyFill="1" applyBorder="1" applyAlignment="1" applyProtection="1">
      <alignment horizontal="left" vertical="center"/>
    </xf>
    <xf numFmtId="0" fontId="7" fillId="5" borderId="35" xfId="0" applyFont="1" applyFill="1" applyBorder="1" applyAlignment="1" applyProtection="1">
      <alignment horizontal="left" vertical="center"/>
    </xf>
    <xf numFmtId="9" fontId="6" fillId="5" borderId="38" xfId="0" applyNumberFormat="1" applyFont="1" applyFill="1" applyBorder="1" applyAlignment="1" applyProtection="1">
      <alignment horizontal="right" vertical="center"/>
    </xf>
    <xf numFmtId="0" fontId="6" fillId="5" borderId="38" xfId="0" applyFont="1" applyFill="1" applyBorder="1" applyAlignment="1" applyProtection="1">
      <alignment horizontal="right" vertical="center"/>
    </xf>
    <xf numFmtId="0" fontId="6" fillId="5" borderId="39" xfId="0" applyFont="1" applyFill="1" applyBorder="1" applyAlignment="1" applyProtection="1">
      <alignment horizontal="left" vertical="top" wrapText="1"/>
    </xf>
    <xf numFmtId="0" fontId="6" fillId="5" borderId="4" xfId="0" applyFont="1" applyFill="1" applyBorder="1" applyAlignment="1" applyProtection="1">
      <alignment horizontal="left" vertical="top" wrapText="1"/>
    </xf>
    <xf numFmtId="0" fontId="6" fillId="5" borderId="40" xfId="0" applyFont="1" applyFill="1" applyBorder="1" applyAlignment="1" applyProtection="1">
      <alignment horizontal="left" vertical="top" wrapText="1"/>
    </xf>
    <xf numFmtId="0" fontId="6" fillId="5" borderId="41" xfId="0" applyFont="1" applyFill="1" applyBorder="1" applyAlignment="1" applyProtection="1">
      <alignment horizontal="left" vertical="top" wrapText="1"/>
    </xf>
    <xf numFmtId="0" fontId="6" fillId="5" borderId="0" xfId="0" applyFont="1" applyFill="1" applyBorder="1" applyAlignment="1" applyProtection="1">
      <alignment horizontal="left" vertical="top" wrapText="1"/>
    </xf>
    <xf numFmtId="0" fontId="6" fillId="5" borderId="5" xfId="0" applyFont="1" applyFill="1" applyBorder="1" applyAlignment="1" applyProtection="1">
      <alignment horizontal="left" vertical="top" wrapText="1"/>
    </xf>
    <xf numFmtId="0" fontId="6" fillId="5" borderId="42" xfId="0" applyFont="1" applyFill="1" applyBorder="1" applyAlignment="1" applyProtection="1">
      <alignment horizontal="left" vertical="top" wrapText="1"/>
    </xf>
    <xf numFmtId="0" fontId="6" fillId="5" borderId="7" xfId="0" applyFont="1" applyFill="1" applyBorder="1" applyAlignment="1" applyProtection="1">
      <alignment horizontal="left" vertical="top" wrapText="1"/>
    </xf>
    <xf numFmtId="0" fontId="6" fillId="5" borderId="6" xfId="0" applyFont="1" applyFill="1" applyBorder="1" applyAlignment="1" applyProtection="1">
      <alignment horizontal="left" vertical="top" wrapText="1"/>
    </xf>
    <xf numFmtId="9" fontId="6" fillId="5" borderId="38" xfId="0" applyNumberFormat="1" applyFont="1" applyFill="1" applyBorder="1" applyAlignment="1" applyProtection="1">
      <alignment vertical="center"/>
    </xf>
    <xf numFmtId="0" fontId="6" fillId="5" borderId="38" xfId="0" applyFont="1" applyFill="1" applyBorder="1" applyAlignment="1" applyProtection="1">
      <alignment vertical="center"/>
    </xf>
  </cellXfs>
  <cellStyles count="9">
    <cellStyle name="Komma" xfId="8" builtinId="3"/>
    <cellStyle name="Link" xfId="2" builtinId="8"/>
    <cellStyle name="Normal" xfId="0" builtinId="0"/>
    <cellStyle name="Normal 2" xfId="1"/>
    <cellStyle name="Normal 2 2" xfId="4"/>
    <cellStyle name="Normal 3" xfId="3"/>
    <cellStyle name="Normal 3 2" xfId="6"/>
    <cellStyle name="Normal 4" xfId="5"/>
    <cellStyle name="Normal 4 2" xfId="7"/>
  </cellStyles>
  <dxfs count="351">
    <dxf>
      <font>
        <color theme="0"/>
      </font>
    </dxf>
    <dxf>
      <fill>
        <patternFill>
          <bgColor theme="0" tint="-4.9989318521683403E-2"/>
        </patternFill>
      </fill>
    </dxf>
    <dxf>
      <fill>
        <patternFill>
          <bgColor rgb="FFFFDE75"/>
        </patternFill>
      </fill>
    </dxf>
    <dxf>
      <font>
        <color theme="0"/>
      </font>
    </dxf>
    <dxf>
      <fill>
        <patternFill>
          <bgColor theme="0" tint="-4.9989318521683403E-2"/>
        </patternFill>
      </fill>
    </dxf>
    <dxf>
      <fill>
        <patternFill>
          <bgColor rgb="FFFFDE75"/>
        </patternFill>
      </fill>
    </dxf>
    <dxf>
      <font>
        <color theme="0"/>
      </font>
    </dxf>
    <dxf>
      <font>
        <strike val="0"/>
        <outline val="0"/>
        <shadow val="0"/>
        <u val="none"/>
        <vertAlign val="baseline"/>
        <sz val="10"/>
        <color theme="1"/>
        <name val="Calibri"/>
        <scheme val="minor"/>
      </font>
      <numFmt numFmtId="30" formatCode="@"/>
      <alignment horizontal="center" vertical="center" textRotation="0" wrapText="0" indent="0" justifyLastLine="0" shrinkToFit="0" readingOrder="0"/>
    </dxf>
    <dxf>
      <font>
        <strike val="0"/>
        <outline val="0"/>
        <shadow val="0"/>
        <u val="none"/>
        <vertAlign val="baseline"/>
        <sz val="10"/>
        <color theme="1"/>
        <name val="Calibri"/>
        <scheme val="minor"/>
      </font>
      <numFmt numFmtId="30" formatCode="@"/>
      <alignment horizontal="left" vertical="bottom" textRotation="0" wrapText="0" indent="0" justifyLastLine="0" shrinkToFit="0" readingOrder="0"/>
    </dxf>
    <dxf>
      <font>
        <strike val="0"/>
        <outline val="0"/>
        <shadow val="0"/>
        <u val="none"/>
        <vertAlign val="baseline"/>
        <sz val="10"/>
        <color theme="1"/>
        <name val="Calibri"/>
        <scheme val="minor"/>
      </font>
      <alignment horizontal="right" vertical="bottom" textRotation="0" wrapText="0" indent="0" justifyLastLine="0" shrinkToFit="0" readingOrder="0"/>
    </dxf>
    <dxf>
      <font>
        <strike val="0"/>
        <outline val="0"/>
        <shadow val="0"/>
        <u val="none"/>
        <vertAlign val="baseline"/>
        <sz val="10"/>
        <color theme="1"/>
        <name val="Calibri"/>
        <scheme val="minor"/>
      </font>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border diagonalUp="0" diagonalDown="0">
        <left/>
        <right/>
        <top style="thin">
          <color theme="6" tint="0.39997558519241921"/>
        </top>
        <bottom style="thin">
          <color theme="6" tint="0.39997558519241921"/>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border diagonalUp="0" diagonalDown="0">
        <left style="thin">
          <color theme="6" tint="0.39997558519241921"/>
        </left>
        <right/>
        <top style="thin">
          <color theme="6" tint="0.39997558519241921"/>
        </top>
        <bottom style="thin">
          <color theme="6" tint="0.39997558519241921"/>
        </bottom>
      </border>
    </dxf>
    <dxf>
      <font>
        <b val="0"/>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6" tint="0.39997558519241921"/>
        </top>
        <bottom style="thin">
          <color theme="6" tint="0.39997558519241921"/>
        </bottom>
      </border>
    </dxf>
    <dxf>
      <border outline="0">
        <left style="thin">
          <color theme="6" tint="0.39997558519241921"/>
        </left>
        <right style="thin">
          <color theme="6" tint="0.39997558519241921"/>
        </right>
        <top style="thin">
          <color theme="6" tint="0.39997558519241921"/>
        </top>
        <bottom style="thin">
          <color theme="6" tint="0.39997558519241921"/>
        </bottom>
      </border>
    </dxf>
    <dxf>
      <fill>
        <patternFill patternType="none">
          <fgColor indexed="64"/>
          <bgColor auto="1"/>
        </patternFill>
      </fill>
    </dxf>
    <dxf>
      <fill>
        <patternFill patternType="none">
          <fgColor indexed="64"/>
          <bgColor auto="1"/>
        </patternFill>
      </fill>
    </dxf>
    <dxf>
      <numFmt numFmtId="3" formatCode="#,##0"/>
    </dxf>
    <dxf>
      <numFmt numFmtId="0" formatCode="General"/>
    </dxf>
    <dxf>
      <numFmt numFmtId="19" formatCode="dd/mm/yyyy"/>
    </dxf>
    <dxf>
      <numFmt numFmtId="165" formatCode="#,##0_ ;[Red]\-#,##0\ "/>
    </dxf>
    <dxf>
      <numFmt numFmtId="0" formatCode="General"/>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protection locked="1" hidden="0"/>
    </dxf>
    <dxf>
      <protection locked="1" hidden="0"/>
    </dxf>
    <dxf>
      <protection locked="1" hidden="0"/>
    </dxf>
    <dxf>
      <protection locked="1" hidden="0"/>
    </dxf>
    <dxf>
      <protection locked="1" hidden="0"/>
    </dxf>
    <dxf>
      <protection locked="1" hidden="0"/>
    </dxf>
    <dxf>
      <protection locked="1" hidden="0"/>
    </dxf>
    <dxf>
      <numFmt numFmtId="166" formatCode="dd/mm/yy;@"/>
      <protection locked="1" hidden="0"/>
    </dxf>
    <dxf>
      <numFmt numFmtId="166" formatCode="dd/mm/yy;@"/>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border outline="0">
        <top style="thin">
          <color theme="4" tint="0.39997558519241921"/>
        </top>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protection locked="1" hidden="0"/>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169" formatCode="#,##0.0;[Red]\-#,##0.0"/>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indexed="65"/>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dxf>
    <dxf>
      <numFmt numFmtId="0" formatCode="General"/>
      <fill>
        <patternFill patternType="none">
          <fgColor indexed="64"/>
          <bgColor auto="1"/>
        </patternFill>
      </fill>
    </dxf>
    <dxf>
      <fill>
        <patternFill patternType="none">
          <fgColor indexed="64"/>
          <bgColor indexed="65"/>
        </patternFill>
      </fill>
    </dxf>
    <dxf>
      <numFmt numFmtId="0" formatCode="General"/>
      <fill>
        <patternFill patternType="none">
          <fgColor indexed="64"/>
          <bgColor auto="1"/>
        </patternFill>
      </fill>
      <alignment horizontal="right" vertical="bottom" textRotation="0" wrapText="0" indent="0" justifyLastLine="0" shrinkToFit="0" readingOrder="0"/>
    </dxf>
    <dxf>
      <numFmt numFmtId="0" formatCode="General"/>
      <fill>
        <patternFill patternType="none">
          <fgColor indexed="64"/>
          <bgColor auto="1"/>
        </patternFill>
      </fill>
      <alignment horizontal="right" vertical="bottom" textRotation="0" wrapText="0" indent="0" justifyLastLine="0" shrinkToFit="0" readingOrder="0"/>
    </dxf>
    <dxf>
      <fill>
        <patternFill patternType="none">
          <fgColor indexed="64"/>
          <bgColor indexed="65"/>
        </patternFill>
      </fill>
    </dxf>
    <dxf>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169" formatCode="#,##0.0;[Red]\-#,##0.0"/>
      <fill>
        <patternFill patternType="none">
          <fgColor indexed="64"/>
          <bgColor auto="1"/>
        </patternFill>
      </fill>
    </dxf>
    <dxf>
      <numFmt numFmtId="0" formatCode="General"/>
      <fill>
        <patternFill patternType="none">
          <fgColor indexed="64"/>
          <bgColor auto="1"/>
        </patternFill>
      </fill>
    </dxf>
    <dxf>
      <fill>
        <patternFill patternType="none">
          <fgColor indexed="64"/>
          <bgColor auto="1"/>
        </patternFill>
      </fill>
    </dxf>
    <dxf>
      <fill>
        <patternFill patternType="none">
          <fgColor indexed="64"/>
          <bgColor auto="1"/>
        </patternFill>
      </fill>
    </dxf>
    <dxf>
      <font>
        <strike val="0"/>
        <outline val="0"/>
        <shadow val="0"/>
        <u val="none"/>
        <vertAlign val="baseline"/>
        <sz val="10"/>
        <color auto="1"/>
        <name val="Calibri"/>
        <scheme val="none"/>
      </font>
      <fill>
        <patternFill patternType="none">
          <fgColor indexed="64"/>
          <bgColor auto="1"/>
        </patternFill>
      </fill>
    </dxf>
    <dxf>
      <font>
        <strike val="0"/>
        <outline val="0"/>
        <shadow val="0"/>
        <u val="none"/>
        <vertAlign val="baseline"/>
        <sz val="10"/>
        <color auto="1"/>
        <name val="Calibri"/>
        <scheme val="none"/>
      </font>
      <fill>
        <patternFill patternType="none">
          <fgColor indexed="64"/>
          <bgColor auto="1"/>
        </patternFill>
      </fill>
    </dxf>
    <dxf>
      <font>
        <b val="0"/>
        <i val="0"/>
        <strike val="0"/>
        <condense val="0"/>
        <extend val="0"/>
        <outline val="0"/>
        <shadow val="0"/>
        <u val="none"/>
        <vertAlign val="baseline"/>
        <sz val="10"/>
        <color auto="1"/>
        <name val="Calibri"/>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0"/>
        <color auto="1"/>
        <name val="Calibri"/>
        <scheme val="none"/>
      </font>
      <fill>
        <patternFill patternType="none">
          <fgColor indexed="64"/>
          <bgColor auto="1"/>
        </patternFill>
      </fill>
    </dxf>
    <dxf>
      <font>
        <strike val="0"/>
        <outline val="0"/>
        <shadow val="0"/>
        <u val="none"/>
        <vertAlign val="baseline"/>
        <sz val="10"/>
        <name val="Calibri"/>
      </font>
      <fill>
        <patternFill patternType="none">
          <fgColor indexed="64"/>
          <bgColor auto="1"/>
        </patternFill>
      </fill>
    </dxf>
    <dxf>
      <font>
        <strike val="0"/>
        <outline val="0"/>
        <shadow val="0"/>
        <u val="none"/>
        <vertAlign val="baseline"/>
        <sz val="11"/>
        <color auto="1"/>
        <name val="Calibri"/>
        <scheme val="none"/>
      </font>
      <fill>
        <patternFill patternType="none">
          <bgColor auto="1"/>
        </patternFill>
      </fill>
      <alignment vertical="top" textRotation="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0" tint="-0.34998626667073579"/>
        </top>
        <bottom style="thin">
          <color theme="0" tint="-0.34998626667073579"/>
        </bottom>
      </border>
    </dxf>
    <dxf>
      <font>
        <strike val="0"/>
        <outline val="0"/>
        <shadow val="0"/>
        <u val="none"/>
        <vertAlign val="baseline"/>
        <sz val="11"/>
        <color auto="1"/>
        <name val="Calibri"/>
        <scheme val="none"/>
      </font>
      <fill>
        <patternFill patternType="none">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numFmt numFmtId="13" formatCode="0%"/>
      <alignment horizontal="right" vertical="bottom"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0"/>
        <color rgb="FF000000"/>
        <name val="Calibri"/>
        <scheme val="none"/>
      </font>
      <fill>
        <patternFill patternType="none">
          <bgColor auto="1"/>
        </patternFill>
      </fill>
      <alignment horizontal="left" vertical="top" textRotation="0" wrapText="0" indent="0" justifyLastLine="0" shrinkToFit="0" readingOrder="0"/>
    </dxf>
    <dxf>
      <font>
        <b/>
        <i val="0"/>
        <strike val="0"/>
        <condense val="0"/>
        <extend val="0"/>
        <outline val="0"/>
        <shadow val="0"/>
        <u val="none"/>
        <vertAlign val="baseline"/>
        <sz val="10"/>
        <color theme="0"/>
        <name val="Arial"/>
        <scheme val="none"/>
      </font>
    </dxf>
    <dxf>
      <numFmt numFmtId="166" formatCode="dd/mm/yy;@"/>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fill>
        <patternFill patternType="none">
          <fgColor indexed="64"/>
          <bgColor indexed="65"/>
        </patternFill>
      </fill>
    </dxf>
    <dxf>
      <alignment horizontal="general" vertical="top" textRotation="0" wrapText="0" indent="0" justifyLastLine="0" shrinkToFit="0" readingOrder="0"/>
    </dxf>
    <dxf>
      <fill>
        <patternFill patternType="none">
          <fgColor indexed="64"/>
          <bgColor indexed="65"/>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top" textRotation="0" wrapText="0" indent="0" justifyLastLine="0" shrinkToFit="0" readingOrder="0"/>
    </dxf>
    <dxf>
      <alignment horizontal="general" vertical="top" textRotation="0" wrapText="0" indent="0" justifyLastLine="0" shrinkToFit="0" readingOrder="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top" textRotation="0" wrapText="0" indent="0" justifyLastLine="0" shrinkToFit="0" readingOrder="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sz val="10"/>
        <color auto="1"/>
      </font>
      <fill>
        <patternFill patternType="none">
          <fgColor indexed="64"/>
          <bgColor auto="1"/>
        </patternFill>
      </fill>
      <alignment horizontal="general" vertical="top" textRotation="0" wrapText="0" indent="0" justifyLastLine="0" shrinkToFit="0" readingOrder="0"/>
    </dxf>
    <dxf>
      <font>
        <sz val="10"/>
        <color auto="1"/>
      </font>
      <fill>
        <patternFill patternType="none">
          <fgColor indexed="64"/>
          <bgColor indexed="65"/>
        </patternFill>
      </fill>
      <alignment horizontal="general" vertical="top" textRotation="0" wrapText="0" indent="0" justifyLastLine="0" shrinkToFit="0" readingOrder="0"/>
    </dxf>
    <dxf>
      <font>
        <sz val="10"/>
        <color auto="1"/>
      </font>
      <fill>
        <patternFill patternType="none">
          <fgColor indexed="64"/>
          <bgColor indexed="65"/>
        </patternFill>
      </fill>
      <alignment horizontal="general" vertical="top" textRotation="0" wrapText="0" indent="0" justifyLastLine="0" shrinkToFit="0" readingOrder="0"/>
    </dxf>
    <dxf>
      <fill>
        <patternFill patternType="none">
          <bgColor auto="1"/>
        </patternFill>
      </fill>
      <alignment vertical="top" textRotation="0" wrapText="0" indent="0" justifyLastLine="0" shrinkToFit="0" readingOrder="0"/>
    </dxf>
    <dxf>
      <font>
        <strike val="0"/>
        <outline val="0"/>
        <shadow val="0"/>
        <u val="none"/>
        <vertAlign val="baseline"/>
        <sz val="11"/>
        <color theme="1"/>
        <name val="Calibri"/>
        <scheme val="minor"/>
      </font>
      <fill>
        <patternFill patternType="none">
          <bgColor auto="1"/>
        </patternFill>
      </fill>
      <alignment horizontal="right" vertical="top" textRotation="0" wrapText="0" indent="0" justifyLastLine="0" shrinkToFit="0" readingOrder="0"/>
    </dxf>
    <dxf>
      <font>
        <strike val="0"/>
        <outline val="0"/>
        <shadow val="0"/>
        <u val="none"/>
        <vertAlign val="baseline"/>
        <sz val="11"/>
        <color theme="1"/>
        <name val="Calibri"/>
        <scheme val="minor"/>
      </font>
      <fill>
        <patternFill patternType="none">
          <bgColor auto="1"/>
        </patternFill>
      </fill>
      <alignment horizontal="right" vertical="top" textRotation="0" wrapText="0" indent="0" justifyLastLine="0" shrinkToFit="0" readingOrder="0"/>
    </dxf>
    <dxf>
      <alignment horizontal="general" vertical="top" textRotation="0" wrapText="0" indent="0" justifyLastLine="0" shrinkToFit="0" readingOrder="0"/>
    </dxf>
    <dxf>
      <font>
        <color rgb="FF9C0006"/>
      </font>
      <fill>
        <patternFill patternType="none">
          <bgColor auto="1"/>
        </patternFill>
      </fill>
    </dxf>
    <dxf>
      <fill>
        <patternFill>
          <bgColor theme="0" tint="-4.9989318521683403E-2"/>
        </patternFill>
      </fill>
    </dxf>
    <dxf>
      <fill>
        <patternFill>
          <bgColor rgb="FFFFDE75"/>
        </patternFill>
      </fill>
    </dxf>
    <dxf>
      <font>
        <color rgb="FF9C0006"/>
      </font>
      <fill>
        <patternFill patternType="none">
          <bgColor auto="1"/>
        </patternFill>
      </fill>
    </dxf>
    <dxf>
      <font>
        <color rgb="FF9C0006"/>
      </font>
      <fill>
        <patternFill patternType="none">
          <bgColor auto="1"/>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ill>
        <patternFill>
          <bgColor theme="0" tint="-4.9989318521683403E-2"/>
        </patternFill>
      </fill>
    </dxf>
    <dxf>
      <fill>
        <patternFill>
          <bgColor rgb="FFFFDE75"/>
        </patternFill>
      </fill>
    </dxf>
    <dxf>
      <font>
        <color rgb="FF9C0006"/>
      </font>
      <fill>
        <patternFill patternType="none">
          <bgColor auto="1"/>
        </patternFill>
      </fill>
    </dxf>
    <dxf>
      <fill>
        <patternFill>
          <bgColor theme="0" tint="-4.9989318521683403E-2"/>
        </patternFill>
      </fill>
    </dxf>
    <dxf>
      <fill>
        <patternFill>
          <bgColor rgb="FFFFDE75"/>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theme="0" tint="-0.14996795556505021"/>
        </patternFill>
      </fill>
    </dxf>
    <dxf>
      <fill>
        <patternFill>
          <bgColor rgb="FFF7FDBF"/>
        </patternFill>
      </fill>
    </dxf>
    <dxf>
      <fill>
        <patternFill>
          <bgColor theme="0" tint="-0.14996795556505021"/>
        </patternFill>
      </fill>
    </dxf>
    <dxf>
      <fill>
        <patternFill>
          <bgColor rgb="FFF7FDBF"/>
        </patternFill>
      </fill>
    </dxf>
    <dxf>
      <fill>
        <patternFill>
          <bgColor theme="0" tint="-0.14996795556505021"/>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theme="0" tint="-0.14996795556505021"/>
        </patternFill>
      </fill>
    </dxf>
    <dxf>
      <font>
        <color theme="0" tint="-0.14996795556505021"/>
      </font>
    </dxf>
    <dxf>
      <font>
        <color theme="0" tint="-0.14996795556505021"/>
      </font>
    </dxf>
    <dxf>
      <font>
        <color theme="0" tint="-0.14996795556505021"/>
      </font>
    </dxf>
    <dxf>
      <font>
        <color theme="0" tint="-0.14996795556505021"/>
      </font>
    </dxf>
    <dxf>
      <fill>
        <patternFill>
          <bgColor rgb="FFFFBDBF"/>
        </patternFill>
      </fill>
    </dxf>
    <dxf>
      <font>
        <color theme="0" tint="-0.14996795556505021"/>
      </font>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theme="0" tint="-0.14996795556505021"/>
        </patternFill>
      </fill>
    </dxf>
    <dxf>
      <fill>
        <patternFill>
          <bgColor rgb="FFF7FDBF"/>
        </patternFill>
      </fill>
    </dxf>
    <dxf>
      <fill>
        <patternFill>
          <bgColor theme="0" tint="-0.14996795556505021"/>
        </patternFill>
      </fill>
    </dxf>
    <dxf>
      <fill>
        <patternFill>
          <bgColor rgb="FFF7FDBF"/>
        </patternFill>
      </fill>
    </dxf>
    <dxf>
      <fill>
        <patternFill>
          <bgColor rgb="FFFFBDBF"/>
        </patternFill>
      </fill>
    </dxf>
    <dxf>
      <fill>
        <patternFill>
          <bgColor rgb="FFFFBDB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
      <fill>
        <patternFill>
          <bgColor rgb="FFFFBDBF"/>
        </patternFill>
      </fill>
    </dxf>
  </dxfs>
  <tableStyles count="0" defaultTableStyle="TableStyleMedium2" defaultPivotStyle="PivotStyleLight16"/>
  <colors>
    <mruColors>
      <color rgb="FFFFBDBF"/>
      <color rgb="FFF7FDBF"/>
      <color rgb="FF595959"/>
      <color rgb="FFF59601"/>
      <color rgb="FF80B726"/>
      <color rgb="FFF4EAE4"/>
      <color rgb="FF014A69"/>
      <color rgb="FFFF5050"/>
      <color rgb="FF95B3D7"/>
      <color rgb="FF954A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8</xdr:col>
      <xdr:colOff>0</xdr:colOff>
      <xdr:row>0</xdr:row>
      <xdr:rowOff>44824</xdr:rowOff>
    </xdr:from>
    <xdr:to>
      <xdr:col>10</xdr:col>
      <xdr:colOff>235323</xdr:colOff>
      <xdr:row>0</xdr:row>
      <xdr:rowOff>369794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8561294" y="44824"/>
          <a:ext cx="1804147" cy="324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000">
              <a:solidFill>
                <a:schemeClr val="tx1">
                  <a:lumMod val="50000"/>
                  <a:lumOff val="50000"/>
                </a:schemeClr>
              </a:solidFill>
            </a:rPr>
            <a:t>ver. 2.0</a:t>
          </a:r>
        </a:p>
      </xdr:txBody>
    </xdr:sp>
    <xdr:clientData/>
  </xdr:twoCellAnchor>
  <xdr:twoCellAnchor>
    <xdr:from>
      <xdr:col>0</xdr:col>
      <xdr:colOff>0</xdr:colOff>
      <xdr:row>8</xdr:row>
      <xdr:rowOff>349808</xdr:rowOff>
    </xdr:from>
    <xdr:to>
      <xdr:col>2</xdr:col>
      <xdr:colOff>963705</xdr:colOff>
      <xdr:row>8</xdr:row>
      <xdr:rowOff>1722783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909134"/>
          <a:ext cx="4036553" cy="137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lumMod val="65000"/>
                  <a:lumOff val="35000"/>
                </a:schemeClr>
              </a:solidFill>
              <a:effectLst/>
              <a:latin typeface="+mn-lt"/>
              <a:ea typeface="+mn-ea"/>
              <a:cs typeface="+mn-cs"/>
            </a:rPr>
            <a:t>Danish institutions</a:t>
          </a:r>
          <a:r>
            <a:rPr lang="en-US" sz="1000">
              <a:solidFill>
                <a:schemeClr val="tx1">
                  <a:lumMod val="65000"/>
                  <a:lumOff val="35000"/>
                </a:schemeClr>
              </a:solidFill>
              <a:effectLst/>
              <a:latin typeface="+mn-lt"/>
              <a:ea typeface="+mn-ea"/>
              <a:cs typeface="+mn-cs"/>
            </a:rPr>
            <a:t>:</a:t>
          </a:r>
          <a:endParaRPr lang="da-DK" sz="1000">
            <a:solidFill>
              <a:schemeClr val="tx1">
                <a:lumMod val="65000"/>
                <a:lumOff val="35000"/>
              </a:schemeClr>
            </a:solidFill>
            <a:effectLst/>
            <a:latin typeface="+mn-lt"/>
            <a:ea typeface="+mn-ea"/>
            <a:cs typeface="+mn-cs"/>
          </a:endParaRPr>
        </a:p>
        <a:p>
          <a:pPr>
            <a:spcAft>
              <a:spcPts val="300"/>
            </a:spcAft>
          </a:pPr>
          <a:r>
            <a:rPr lang="en-US" sz="1000">
              <a:solidFill>
                <a:schemeClr val="tx1">
                  <a:lumMod val="65000"/>
                  <a:lumOff val="35000"/>
                </a:schemeClr>
              </a:solidFill>
              <a:effectLst/>
              <a:latin typeface="+mn-lt"/>
              <a:ea typeface="+mn-ea"/>
              <a:cs typeface="+mn-cs"/>
            </a:rPr>
            <a:t>If the institution is Danish, a CVR no. must be filled in. If there is more than one institution with the same institution name, a P no. and department name must also be filled in.</a:t>
          </a:r>
          <a:endParaRPr lang="da-DK" sz="1000">
            <a:solidFill>
              <a:schemeClr val="tx1">
                <a:lumMod val="65000"/>
                <a:lumOff val="35000"/>
              </a:schemeClr>
            </a:solidFill>
            <a:effectLst/>
            <a:latin typeface="+mn-lt"/>
            <a:ea typeface="+mn-ea"/>
            <a:cs typeface="+mn-cs"/>
          </a:endParaRPr>
        </a:p>
        <a:p>
          <a:r>
            <a:rPr lang="en-US" sz="1000">
              <a:solidFill>
                <a:schemeClr val="tx1">
                  <a:lumMod val="65000"/>
                  <a:lumOff val="35000"/>
                </a:schemeClr>
              </a:solidFill>
              <a:effectLst/>
              <a:latin typeface="+mn-lt"/>
              <a:ea typeface="+mn-ea"/>
              <a:cs typeface="+mn-cs"/>
            </a:rPr>
            <a:t>In addition to CVR no. (and P no.) institution name, institution type, overhead percentage, address, postcode, city and country</a:t>
          </a:r>
          <a:r>
            <a:rPr lang="en-US" sz="1000" baseline="0">
              <a:solidFill>
                <a:schemeClr val="tx1">
                  <a:lumMod val="65000"/>
                  <a:lumOff val="35000"/>
                </a:schemeClr>
              </a:solidFill>
              <a:effectLst/>
              <a:latin typeface="+mn-lt"/>
              <a:ea typeface="+mn-ea"/>
              <a:cs typeface="+mn-cs"/>
            </a:rPr>
            <a:t> must also be filled in.</a:t>
          </a:r>
        </a:p>
        <a:p>
          <a:endParaRPr lang="da-DK" sz="1000">
            <a:solidFill>
              <a:schemeClr val="tx1">
                <a:lumMod val="65000"/>
                <a:lumOff val="35000"/>
              </a:schemeClr>
            </a:solidFill>
            <a:effectLst/>
            <a:latin typeface="+mn-lt"/>
            <a:ea typeface="+mn-ea"/>
            <a:cs typeface="+mn-cs"/>
          </a:endParaRPr>
        </a:p>
        <a:p>
          <a:endParaRPr lang="da-DK" sz="800">
            <a:latin typeface="+mn-lt"/>
          </a:endParaRPr>
        </a:p>
      </xdr:txBody>
    </xdr:sp>
    <xdr:clientData/>
  </xdr:twoCellAnchor>
  <xdr:twoCellAnchor>
    <xdr:from>
      <xdr:col>2</xdr:col>
      <xdr:colOff>963705</xdr:colOff>
      <xdr:row>8</xdr:row>
      <xdr:rowOff>356152</xdr:rowOff>
    </xdr:from>
    <xdr:to>
      <xdr:col>7</xdr:col>
      <xdr:colOff>268940</xdr:colOff>
      <xdr:row>8</xdr:row>
      <xdr:rowOff>1656522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036553" y="2915478"/>
          <a:ext cx="3984909" cy="1300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lumMod val="65000"/>
                  <a:lumOff val="35000"/>
                </a:schemeClr>
              </a:solidFill>
              <a:effectLst/>
              <a:latin typeface="+mn-lt"/>
              <a:ea typeface="+mn-ea"/>
              <a:cs typeface="+mn-cs"/>
            </a:rPr>
            <a:t>Foreign institutions</a:t>
          </a:r>
          <a:r>
            <a:rPr lang="en-US" sz="1000">
              <a:solidFill>
                <a:schemeClr val="tx1">
                  <a:lumMod val="65000"/>
                  <a:lumOff val="35000"/>
                </a:schemeClr>
              </a:solidFill>
              <a:effectLst/>
              <a:latin typeface="+mn-lt"/>
              <a:ea typeface="+mn-ea"/>
              <a:cs typeface="+mn-cs"/>
            </a:rPr>
            <a:t>:</a:t>
          </a:r>
          <a:endParaRPr lang="da-DK" sz="1000">
            <a:solidFill>
              <a:schemeClr val="tx1">
                <a:lumMod val="65000"/>
                <a:lumOff val="35000"/>
              </a:schemeClr>
            </a:solidFill>
            <a:effectLst/>
            <a:latin typeface="+mn-lt"/>
            <a:ea typeface="+mn-ea"/>
            <a:cs typeface="+mn-cs"/>
          </a:endParaRPr>
        </a:p>
        <a:p>
          <a:pPr>
            <a:spcAft>
              <a:spcPts val="300"/>
            </a:spcAft>
          </a:pPr>
          <a:r>
            <a:rPr lang="en-US" sz="1000">
              <a:solidFill>
                <a:schemeClr val="tx1">
                  <a:lumMod val="65000"/>
                  <a:lumOff val="35000"/>
                </a:schemeClr>
              </a:solidFill>
              <a:effectLst/>
              <a:latin typeface="+mn-lt"/>
              <a:ea typeface="+mn-ea"/>
              <a:cs typeface="+mn-cs"/>
            </a:rPr>
            <a:t>If the institution is foreign, address, postcode, city, country and email must be filled in. If there is more than one institution with the same institution</a:t>
          </a:r>
          <a:r>
            <a:rPr lang="en-US" sz="1000" baseline="0">
              <a:solidFill>
                <a:schemeClr val="tx1">
                  <a:lumMod val="65000"/>
                  <a:lumOff val="35000"/>
                </a:schemeClr>
              </a:solidFill>
              <a:effectLst/>
              <a:latin typeface="+mn-lt"/>
              <a:ea typeface="+mn-ea"/>
              <a:cs typeface="+mn-cs"/>
            </a:rPr>
            <a:t> </a:t>
          </a:r>
          <a:r>
            <a:rPr lang="en-US" sz="1000">
              <a:solidFill>
                <a:schemeClr val="tx1">
                  <a:lumMod val="65000"/>
                  <a:lumOff val="35000"/>
                </a:schemeClr>
              </a:solidFill>
              <a:effectLst/>
              <a:latin typeface="+mn-lt"/>
              <a:ea typeface="+mn-ea"/>
              <a:cs typeface="+mn-cs"/>
            </a:rPr>
            <a:t>name, the department name must also be filled in.</a:t>
          </a:r>
          <a:endParaRPr lang="da-DK" sz="1000">
            <a:solidFill>
              <a:schemeClr val="tx1">
                <a:lumMod val="65000"/>
                <a:lumOff val="35000"/>
              </a:schemeClr>
            </a:solidFill>
            <a:effectLst/>
            <a:latin typeface="+mn-lt"/>
            <a:ea typeface="+mn-ea"/>
            <a:cs typeface="+mn-cs"/>
          </a:endParaRPr>
        </a:p>
        <a:p>
          <a:r>
            <a:rPr lang="en-US" sz="1000">
              <a:solidFill>
                <a:schemeClr val="tx1">
                  <a:lumMod val="65000"/>
                  <a:lumOff val="35000"/>
                </a:schemeClr>
              </a:solidFill>
              <a:effectLst/>
              <a:latin typeface="+mn-lt"/>
              <a:ea typeface="+mn-ea"/>
              <a:cs typeface="+mn-cs"/>
            </a:rPr>
            <a:t>In addition to the address, postcode, city, country and email, the institution name and institution type must also be filled in.</a:t>
          </a:r>
          <a:endParaRPr lang="da-DK" sz="1000">
            <a:solidFill>
              <a:schemeClr val="tx1">
                <a:lumMod val="65000"/>
                <a:lumOff val="35000"/>
              </a:schemeClr>
            </a:solidFill>
            <a:effectLst/>
            <a:latin typeface="+mn-lt"/>
            <a:ea typeface="+mn-ea"/>
            <a:cs typeface="+mn-cs"/>
          </a:endParaRPr>
        </a:p>
      </xdr:txBody>
    </xdr:sp>
    <xdr:clientData/>
  </xdr:twoCellAnchor>
  <xdr:twoCellAnchor>
    <xdr:from>
      <xdr:col>7</xdr:col>
      <xdr:colOff>332264</xdr:colOff>
      <xdr:row>8</xdr:row>
      <xdr:rowOff>347870</xdr:rowOff>
    </xdr:from>
    <xdr:to>
      <xdr:col>9</xdr:col>
      <xdr:colOff>575434</xdr:colOff>
      <xdr:row>8</xdr:row>
      <xdr:rowOff>1532283</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8084786" y="2907196"/>
          <a:ext cx="1800300" cy="1184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lang="en-US" sz="1000" b="1">
              <a:solidFill>
                <a:schemeClr val="tx1">
                  <a:lumMod val="65000"/>
                  <a:lumOff val="35000"/>
                </a:schemeClr>
              </a:solidFill>
              <a:effectLst/>
              <a:latin typeface="+mn-lt"/>
              <a:ea typeface="+mn-ea"/>
              <a:cs typeface="+mn-cs"/>
            </a:rPr>
            <a:t>More than</a:t>
          </a:r>
          <a:r>
            <a:rPr lang="en-US" sz="1000" b="1" baseline="0">
              <a:solidFill>
                <a:schemeClr val="tx1">
                  <a:lumMod val="65000"/>
                  <a:lumOff val="35000"/>
                </a:schemeClr>
              </a:solidFill>
              <a:effectLst/>
              <a:latin typeface="+mn-lt"/>
              <a:ea typeface="+mn-ea"/>
              <a:cs typeface="+mn-cs"/>
            </a:rPr>
            <a:t> </a:t>
          </a:r>
          <a:r>
            <a:rPr lang="en-US" sz="1000" b="1">
              <a:solidFill>
                <a:schemeClr val="tx1">
                  <a:lumMod val="65000"/>
                  <a:lumOff val="35000"/>
                </a:schemeClr>
              </a:solidFill>
              <a:effectLst/>
              <a:latin typeface="+mn-lt"/>
              <a:ea typeface="+mn-ea"/>
              <a:cs typeface="+mn-cs"/>
            </a:rPr>
            <a:t>11 participating institutions:</a:t>
          </a:r>
        </a:p>
        <a:p>
          <a:r>
            <a:rPr lang="en-US" sz="1000">
              <a:solidFill>
                <a:schemeClr val="tx1">
                  <a:lumMod val="65000"/>
                  <a:lumOff val="35000"/>
                </a:schemeClr>
              </a:solidFill>
              <a:effectLst/>
              <a:latin typeface="+mn-lt"/>
              <a:ea typeface="+mn-ea"/>
              <a:cs typeface="+mn-cs"/>
            </a:rPr>
            <a:t>Please contact e-grant support: support.e-grant@ufm.dk </a:t>
          </a:r>
          <a:endParaRPr lang="da-DK" sz="1000">
            <a:solidFill>
              <a:schemeClr val="tx1">
                <a:lumMod val="65000"/>
                <a:lumOff val="35000"/>
              </a:schemeClr>
            </a:solidFill>
            <a:effectLst/>
            <a:latin typeface="+mn-lt"/>
            <a:ea typeface="+mn-ea"/>
            <a:cs typeface="+mn-cs"/>
          </a:endParaRPr>
        </a:p>
        <a:p>
          <a:endParaRPr lang="da-DK" sz="1000"/>
        </a:p>
        <a:p>
          <a:endParaRPr lang="da-DK" sz="1000"/>
        </a:p>
      </xdr:txBody>
    </xdr:sp>
    <xdr:clientData/>
  </xdr:twoCellAnchor>
  <xdr:twoCellAnchor>
    <xdr:from>
      <xdr:col>0</xdr:col>
      <xdr:colOff>22412</xdr:colOff>
      <xdr:row>48</xdr:row>
      <xdr:rowOff>493062</xdr:rowOff>
    </xdr:from>
    <xdr:to>
      <xdr:col>4</xdr:col>
      <xdr:colOff>694765</xdr:colOff>
      <xdr:row>50</xdr:row>
      <xdr:rowOff>1383197</xdr:rowOff>
    </xdr:to>
    <xdr:sp macro="" textlink="">
      <xdr:nvSpPr>
        <xdr:cNvPr id="7" name="TextBox 2">
          <a:extLst>
            <a:ext uri="{FF2B5EF4-FFF2-40B4-BE49-F238E27FC236}">
              <a16:creationId xmlns:a16="http://schemas.microsoft.com/office/drawing/2014/main" id="{00000000-0008-0000-0000-000003000000}"/>
            </a:ext>
          </a:extLst>
        </xdr:cNvPr>
        <xdr:cNvSpPr txBox="1"/>
      </xdr:nvSpPr>
      <xdr:spPr>
        <a:xfrm>
          <a:off x="22412" y="23084121"/>
          <a:ext cx="6096000" cy="1573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00" b="1">
            <a:solidFill>
              <a:schemeClr val="tx1">
                <a:lumMod val="65000"/>
                <a:lumOff val="35000"/>
              </a:schemeClr>
            </a:solidFill>
            <a:effectLst/>
            <a:latin typeface="+mn-lt"/>
            <a:ea typeface="+mn-ea"/>
            <a:cs typeface="+mn-cs"/>
          </a:endParaRPr>
        </a:p>
        <a:p>
          <a:r>
            <a:rPr lang="en-US" sz="1000" b="1">
              <a:solidFill>
                <a:schemeClr val="tx1">
                  <a:lumMod val="65000"/>
                  <a:lumOff val="35000"/>
                </a:schemeClr>
              </a:solidFill>
              <a:effectLst/>
              <a:latin typeface="+mn-lt"/>
              <a:ea typeface="+mn-ea"/>
              <a:cs typeface="+mn-cs"/>
            </a:rPr>
            <a:t>Note:</a:t>
          </a:r>
        </a:p>
        <a:p>
          <a:r>
            <a:rPr lang="en-US" sz="1000" b="0">
              <a:solidFill>
                <a:schemeClr val="tx1">
                  <a:lumMod val="65000"/>
                  <a:lumOff val="35000"/>
                </a:schemeClr>
              </a:solidFill>
              <a:effectLst/>
              <a:latin typeface="+mn-lt"/>
              <a:ea typeface="+mn-ea"/>
              <a:cs typeface="+mn-cs"/>
            </a:rPr>
            <a:t>In the following overview,</a:t>
          </a:r>
          <a:r>
            <a:rPr lang="en-US" sz="1000" b="0" baseline="0">
              <a:solidFill>
                <a:schemeClr val="tx1">
                  <a:lumMod val="65000"/>
                  <a:lumOff val="35000"/>
                </a:schemeClr>
              </a:solidFill>
              <a:effectLst/>
              <a:latin typeface="+mn-lt"/>
              <a:ea typeface="+mn-ea"/>
              <a:cs typeface="+mn-cs"/>
            </a:rPr>
            <a:t> p</a:t>
          </a:r>
          <a:r>
            <a:rPr lang="en-US" sz="1000" b="0">
              <a:solidFill>
                <a:schemeClr val="tx1">
                  <a:lumMod val="65000"/>
                  <a:lumOff val="35000"/>
                </a:schemeClr>
              </a:solidFill>
              <a:effectLst/>
              <a:latin typeface="+mn-lt"/>
              <a:ea typeface="+mn-ea"/>
              <a:cs typeface="+mn-cs"/>
            </a:rPr>
            <a:t>lease specify expenses towards equipment and operating expenses as detailed as possible. If possible, each row should contain one budget item only. If you for reasons of space need to consolidate several budget items into one row, please account for the individual items and their cost in the </a:t>
          </a:r>
          <a:r>
            <a:rPr lang="en-US" sz="1000" b="0">
              <a:solidFill>
                <a:srgbClr val="595959"/>
              </a:solidFill>
              <a:effectLst/>
              <a:latin typeface="+mn-lt"/>
              <a:ea typeface="+mn-ea"/>
              <a:cs typeface="+mn-cs"/>
            </a:rPr>
            <a:t>description column instead.</a:t>
          </a:r>
          <a:endParaRPr lang="da-DK" sz="1000" b="0">
            <a:solidFill>
              <a:srgbClr val="595959"/>
            </a:solidFill>
            <a:effectLst/>
            <a:latin typeface="+mn-lt"/>
            <a:ea typeface="+mn-ea"/>
            <a:cs typeface="+mn-cs"/>
          </a:endParaRPr>
        </a:p>
        <a:p>
          <a:endParaRPr lang="da-DK" sz="1000">
            <a:solidFill>
              <a:srgbClr val="595959"/>
            </a:solidFill>
            <a:latin typeface="+mn-lt"/>
          </a:endParaRPr>
        </a:p>
        <a:p>
          <a:r>
            <a:rPr lang="da-DK" sz="1000">
              <a:solidFill>
                <a:srgbClr val="595959"/>
              </a:solidFill>
              <a:latin typeface="+mn-lt"/>
            </a:rPr>
            <a:t>Please only insert amounts for DFF financing in white cells (i.e. cells related to years covered by the period between start and end date stated in cell  C6-C7).</a:t>
          </a:r>
        </a:p>
        <a:p>
          <a:endParaRPr lang="da-DK" sz="800">
            <a:latin typeface="+mn-lt"/>
          </a:endParaRPr>
        </a:p>
      </xdr:txBody>
    </xdr:sp>
    <xdr:clientData/>
  </xdr:twoCellAnchor>
  <xdr:twoCellAnchor>
    <xdr:from>
      <xdr:col>0</xdr:col>
      <xdr:colOff>0</xdr:colOff>
      <xdr:row>22</xdr:row>
      <xdr:rowOff>1</xdr:rowOff>
    </xdr:from>
    <xdr:to>
      <xdr:col>3</xdr:col>
      <xdr:colOff>381000</xdr:colOff>
      <xdr:row>22</xdr:row>
      <xdr:rowOff>952501</xdr:rowOff>
    </xdr:to>
    <xdr:sp macro="" textlink="">
      <xdr:nvSpPr>
        <xdr:cNvPr id="8" name="TextBox 2">
          <a:extLst>
            <a:ext uri="{FF2B5EF4-FFF2-40B4-BE49-F238E27FC236}">
              <a16:creationId xmlns:a16="http://schemas.microsoft.com/office/drawing/2014/main" id="{00000000-0008-0000-0000-000003000000}"/>
            </a:ext>
          </a:extLst>
        </xdr:cNvPr>
        <xdr:cNvSpPr txBox="1"/>
      </xdr:nvSpPr>
      <xdr:spPr>
        <a:xfrm>
          <a:off x="0" y="9069458"/>
          <a:ext cx="4745935" cy="95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lumMod val="65000"/>
                  <a:lumOff val="35000"/>
                </a:schemeClr>
              </a:solidFill>
              <a:effectLst/>
              <a:latin typeface="+mn-lt"/>
              <a:ea typeface="+mn-ea"/>
              <a:cs typeface="+mn-cs"/>
            </a:rPr>
            <a:t> </a:t>
          </a:r>
        </a:p>
        <a:p>
          <a:r>
            <a:rPr lang="en-US" sz="1200" b="1">
              <a:solidFill>
                <a:schemeClr val="tx1">
                  <a:lumMod val="65000"/>
                  <a:lumOff val="35000"/>
                </a:schemeClr>
              </a:solidFill>
              <a:effectLst/>
              <a:latin typeface="+mn-lt"/>
              <a:ea typeface="+mn-ea"/>
              <a:cs typeface="+mn-cs"/>
            </a:rPr>
            <a:t>Instructions related to the following overview:</a:t>
          </a:r>
        </a:p>
        <a:p>
          <a:r>
            <a:rPr lang="en-US" sz="1000">
              <a:solidFill>
                <a:schemeClr val="tx1">
                  <a:lumMod val="65000"/>
                  <a:lumOff val="35000"/>
                </a:schemeClr>
              </a:solidFill>
              <a:effectLst/>
              <a:latin typeface="+mn-lt"/>
              <a:ea typeface="+mn-ea"/>
              <a:cs typeface="+mn-cs"/>
            </a:rPr>
            <a:t>Please only insert amounts for DFF financing in white cells (i.e. cells related to years covered by the period between start and end date stated in cell C6-C7).</a:t>
          </a:r>
          <a:endParaRPr lang="da-DK" sz="800">
            <a:latin typeface="+mn-lt"/>
          </a:endParaRPr>
        </a:p>
      </xdr:txBody>
    </xdr:sp>
    <xdr:clientData/>
  </xdr:twoCellAnchor>
  <xdr:twoCellAnchor>
    <xdr:from>
      <xdr:col>6</xdr:col>
      <xdr:colOff>782409</xdr:colOff>
      <xdr:row>22</xdr:row>
      <xdr:rowOff>523875</xdr:rowOff>
    </xdr:from>
    <xdr:to>
      <xdr:col>15</xdr:col>
      <xdr:colOff>782410</xdr:colOff>
      <xdr:row>23</xdr:row>
      <xdr:rowOff>0</xdr:rowOff>
    </xdr:to>
    <xdr:sp macro="" textlink="">
      <xdr:nvSpPr>
        <xdr:cNvPr id="9" name="Tekstfelt 8"/>
        <xdr:cNvSpPr txBox="1"/>
      </xdr:nvSpPr>
      <xdr:spPr>
        <a:xfrm>
          <a:off x="7756070" y="9579429"/>
          <a:ext cx="7068911" cy="4354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Description</a:t>
          </a:r>
          <a:r>
            <a:rPr lang="en-US" sz="1100" b="1" baseline="0">
              <a:solidFill>
                <a:schemeClr val="dk1"/>
              </a:solidFill>
              <a:effectLst/>
              <a:latin typeface="+mn-lt"/>
              <a:ea typeface="+mn-ea"/>
              <a:cs typeface="+mn-cs"/>
            </a:rPr>
            <a:t> of</a:t>
          </a:r>
          <a:r>
            <a:rPr lang="en-US" sz="1100" b="1">
              <a:solidFill>
                <a:schemeClr val="dk1"/>
              </a:solidFill>
              <a:effectLst/>
              <a:latin typeface="+mn-lt"/>
              <a:ea typeface="+mn-ea"/>
              <a:cs typeface="+mn-cs"/>
            </a:rPr>
            <a:t> DFF financing </a:t>
          </a:r>
          <a:endParaRPr lang="da-DK" sz="1100">
            <a:solidFill>
              <a:schemeClr val="dk1"/>
            </a:solidFill>
            <a:effectLst/>
            <a:latin typeface="+mn-lt"/>
            <a:ea typeface="+mn-ea"/>
            <a:cs typeface="+mn-cs"/>
          </a:endParaRPr>
        </a:p>
        <a:p>
          <a:r>
            <a:rPr lang="en-US" sz="1100">
              <a:solidFill>
                <a:schemeClr val="dk1"/>
              </a:solidFill>
              <a:effectLst/>
              <a:latin typeface="+mn-lt"/>
              <a:ea typeface="+mn-ea"/>
              <a:cs typeface="+mn-cs"/>
            </a:rPr>
            <a:t>Please remember to write a description of the salary expenses in the cells to the right </a:t>
          </a:r>
          <a:endParaRPr lang="da-DK" sz="1100">
            <a:solidFill>
              <a:schemeClr val="dk1"/>
            </a:solidFill>
            <a:effectLst/>
            <a:latin typeface="+mn-lt"/>
            <a:ea typeface="+mn-ea"/>
            <a:cs typeface="+mn-cs"/>
          </a:endParaRPr>
        </a:p>
        <a:p>
          <a:endParaRPr lang="da-DK" sz="1100"/>
        </a:p>
      </xdr:txBody>
    </xdr:sp>
    <xdr:clientData/>
  </xdr:twoCellAnchor>
  <xdr:twoCellAnchor>
    <xdr:from>
      <xdr:col>16</xdr:col>
      <xdr:colOff>31750</xdr:colOff>
      <xdr:row>22</xdr:row>
      <xdr:rowOff>777875</xdr:rowOff>
    </xdr:from>
    <xdr:to>
      <xdr:col>25</xdr:col>
      <xdr:colOff>63500</xdr:colOff>
      <xdr:row>23</xdr:row>
      <xdr:rowOff>396875</xdr:rowOff>
    </xdr:to>
    <xdr:cxnSp macro="">
      <xdr:nvCxnSpPr>
        <xdr:cNvPr id="10" name="Vinklet forbindelse 9"/>
        <xdr:cNvCxnSpPr/>
      </xdr:nvCxnSpPr>
      <xdr:spPr>
        <a:xfrm>
          <a:off x="14811375" y="9779000"/>
          <a:ext cx="7048500" cy="587375"/>
        </a:xfrm>
        <a:prstGeom prst="bentConnector3">
          <a:avLst>
            <a:gd name="adj1" fmla="val 100000"/>
          </a:avLst>
        </a:prstGeom>
        <a:ln w="12700">
          <a:headEnd type="diamond"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1599</xdr:colOff>
      <xdr:row>50</xdr:row>
      <xdr:rowOff>1154206</xdr:rowOff>
    </xdr:from>
    <xdr:to>
      <xdr:col>12</xdr:col>
      <xdr:colOff>0</xdr:colOff>
      <xdr:row>51</xdr:row>
      <xdr:rowOff>1199</xdr:rowOff>
    </xdr:to>
    <xdr:sp macro="" textlink="">
      <xdr:nvSpPr>
        <xdr:cNvPr id="11" name="Tekstfelt 10"/>
        <xdr:cNvSpPr txBox="1"/>
      </xdr:nvSpPr>
      <xdr:spPr>
        <a:xfrm>
          <a:off x="4371893" y="24428824"/>
          <a:ext cx="7327048" cy="471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Description</a:t>
          </a:r>
          <a:r>
            <a:rPr lang="en-US" sz="1100" b="1" baseline="0">
              <a:solidFill>
                <a:schemeClr val="dk1"/>
              </a:solidFill>
              <a:effectLst/>
              <a:latin typeface="+mn-lt"/>
              <a:ea typeface="+mn-ea"/>
              <a:cs typeface="+mn-cs"/>
            </a:rPr>
            <a:t> of</a:t>
          </a:r>
          <a:r>
            <a:rPr lang="en-US" sz="1100" b="1">
              <a:solidFill>
                <a:schemeClr val="dk1"/>
              </a:solidFill>
              <a:effectLst/>
              <a:latin typeface="+mn-lt"/>
              <a:ea typeface="+mn-ea"/>
              <a:cs typeface="+mn-cs"/>
            </a:rPr>
            <a:t> DFF financing </a:t>
          </a:r>
          <a:endParaRPr lang="da-DK" sz="1100">
            <a:solidFill>
              <a:schemeClr val="dk1"/>
            </a:solidFill>
            <a:effectLst/>
            <a:latin typeface="+mn-lt"/>
            <a:ea typeface="+mn-ea"/>
            <a:cs typeface="+mn-cs"/>
          </a:endParaRPr>
        </a:p>
        <a:p>
          <a:r>
            <a:rPr lang="en-US" sz="1100">
              <a:solidFill>
                <a:schemeClr val="dk1"/>
              </a:solidFill>
              <a:effectLst/>
              <a:latin typeface="+mn-lt"/>
              <a:ea typeface="+mn-ea"/>
              <a:cs typeface="+mn-cs"/>
            </a:rPr>
            <a:t>Please remember to write a description of other</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expenses in the cells to the right </a:t>
          </a:r>
          <a:endParaRPr lang="da-DK" sz="1100">
            <a:solidFill>
              <a:schemeClr val="dk1"/>
            </a:solidFill>
            <a:effectLst/>
            <a:latin typeface="+mn-lt"/>
            <a:ea typeface="+mn-ea"/>
            <a:cs typeface="+mn-cs"/>
          </a:endParaRPr>
        </a:p>
        <a:p>
          <a:endParaRPr lang="da-DK" sz="1100"/>
        </a:p>
      </xdr:txBody>
    </xdr:sp>
    <xdr:clientData/>
  </xdr:twoCellAnchor>
  <xdr:twoCellAnchor>
    <xdr:from>
      <xdr:col>12</xdr:col>
      <xdr:colOff>30817</xdr:colOff>
      <xdr:row>50</xdr:row>
      <xdr:rowOff>1464235</xdr:rowOff>
    </xdr:from>
    <xdr:to>
      <xdr:col>18</xdr:col>
      <xdr:colOff>89647</xdr:colOff>
      <xdr:row>51</xdr:row>
      <xdr:rowOff>414617</xdr:rowOff>
    </xdr:to>
    <xdr:cxnSp macro="">
      <xdr:nvCxnSpPr>
        <xdr:cNvPr id="12" name="Vinklet forbindelse 11"/>
        <xdr:cNvCxnSpPr/>
      </xdr:nvCxnSpPr>
      <xdr:spPr>
        <a:xfrm>
          <a:off x="11729758" y="24738853"/>
          <a:ext cx="4787713" cy="575235"/>
        </a:xfrm>
        <a:prstGeom prst="bentConnector3">
          <a:avLst>
            <a:gd name="adj1" fmla="val 100088"/>
          </a:avLst>
        </a:prstGeom>
        <a:ln w="12700">
          <a:headEnd type="diamond"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0</xdr:row>
      <xdr:rowOff>9525</xdr:rowOff>
    </xdr:from>
    <xdr:to>
      <xdr:col>16</xdr:col>
      <xdr:colOff>552450</xdr:colOff>
      <xdr:row>16</xdr:row>
      <xdr:rowOff>361950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315200" y="9525"/>
          <a:ext cx="2990850" cy="2943225"/>
        </a:xfrm>
        <a:prstGeom prst="rect">
          <a:avLst/>
        </a:prstGeom>
        <a:solidFill>
          <a:srgbClr val="014A6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08000" rIns="108000" rtlCol="0" anchor="t"/>
        <a:lstStyle/>
        <a:p>
          <a:r>
            <a:rPr lang="en-US" sz="1000" b="1">
              <a:solidFill>
                <a:schemeClr val="bg1"/>
              </a:solidFill>
              <a:effectLst/>
              <a:latin typeface="+mn-lt"/>
              <a:ea typeface="+mn-ea"/>
              <a:cs typeface="+mn-cs"/>
            </a:rPr>
            <a:t>Support</a:t>
          </a:r>
          <a:endParaRPr lang="da-DK" sz="1000">
            <a:solidFill>
              <a:schemeClr val="bg1"/>
            </a:solidFill>
            <a:effectLst/>
          </a:endParaRPr>
        </a:p>
        <a:p>
          <a:r>
            <a:rPr lang="en-US" sz="1000">
              <a:solidFill>
                <a:schemeClr val="bg1"/>
              </a:solidFill>
              <a:effectLst/>
              <a:latin typeface="+mn-lt"/>
              <a:ea typeface="+mn-ea"/>
              <a:cs typeface="+mn-cs"/>
            </a:rPr>
            <a:t>If you have questions concerning filling in</a:t>
          </a:r>
          <a:r>
            <a:rPr lang="en-US" sz="1000" baseline="0">
              <a:solidFill>
                <a:schemeClr val="bg1"/>
              </a:solidFill>
              <a:effectLst/>
              <a:latin typeface="+mn-lt"/>
              <a:ea typeface="+mn-ea"/>
              <a:cs typeface="+mn-cs"/>
            </a:rPr>
            <a:t> the budget</a:t>
          </a:r>
          <a:r>
            <a:rPr lang="en-US" sz="1000">
              <a:solidFill>
                <a:schemeClr val="bg1"/>
              </a:solidFill>
              <a:effectLst/>
              <a:latin typeface="+mn-lt"/>
              <a:ea typeface="+mn-ea"/>
              <a:cs typeface="+mn-cs"/>
            </a:rPr>
            <a:t>, please contact </a:t>
          </a:r>
          <a:r>
            <a:rPr lang="en-US" sz="1000" b="1">
              <a:solidFill>
                <a:schemeClr val="bg1"/>
              </a:solidFill>
              <a:effectLst/>
              <a:latin typeface="+mn-lt"/>
              <a:ea typeface="+mn-ea"/>
              <a:cs typeface="+mn-cs"/>
            </a:rPr>
            <a:t>the office of Independent Research Fund Denmark (DFF).</a:t>
          </a:r>
        </a:p>
        <a:p>
          <a:endParaRPr lang="da-DK" sz="1000">
            <a:solidFill>
              <a:schemeClr val="bg1"/>
            </a:solidFill>
            <a:effectLst/>
          </a:endParaRPr>
        </a:p>
        <a:p>
          <a:r>
            <a:rPr lang="en-US" sz="1000">
              <a:solidFill>
                <a:schemeClr val="bg1"/>
              </a:solidFill>
              <a:effectLst/>
              <a:latin typeface="+mn-lt"/>
              <a:ea typeface="+mn-ea"/>
              <a:cs typeface="+mn-cs"/>
            </a:rPr>
            <a:t>If you are having trouble uploading the budget form to e-grant.dk, please send the budget (in xlsx format) to </a:t>
          </a:r>
          <a:r>
            <a:rPr lang="en-US" sz="1000" b="1">
              <a:solidFill>
                <a:schemeClr val="bg1"/>
              </a:solidFill>
              <a:effectLst/>
              <a:latin typeface="+mn-lt"/>
              <a:ea typeface="+mn-ea"/>
              <a:cs typeface="+mn-cs"/>
            </a:rPr>
            <a:t>e-grant support.</a:t>
          </a:r>
        </a:p>
        <a:p>
          <a:endParaRPr lang="da-DK" sz="1000">
            <a:solidFill>
              <a:schemeClr val="bg1"/>
            </a:solidFill>
            <a:effectLst/>
          </a:endParaRPr>
        </a:p>
        <a:p>
          <a:r>
            <a:rPr lang="en-US" sz="1000" b="1">
              <a:solidFill>
                <a:schemeClr val="bg1"/>
              </a:solidFill>
              <a:effectLst/>
              <a:latin typeface="+mn-lt"/>
              <a:ea typeface="+mn-ea"/>
              <a:cs typeface="+mn-cs"/>
            </a:rPr>
            <a:t>Non-Excel users</a:t>
          </a:r>
        </a:p>
        <a:p>
          <a:r>
            <a:rPr lang="en-US" sz="1000">
              <a:solidFill>
                <a:schemeClr val="bg1"/>
              </a:solidFill>
              <a:effectLst/>
              <a:latin typeface="+mn-lt"/>
              <a:ea typeface="+mn-ea"/>
              <a:cs typeface="+mn-cs"/>
            </a:rPr>
            <a:t>If you are using </a:t>
          </a:r>
          <a:r>
            <a:rPr lang="en-US" sz="1000" i="1">
              <a:solidFill>
                <a:schemeClr val="bg1"/>
              </a:solidFill>
              <a:effectLst/>
              <a:latin typeface="+mn-lt"/>
              <a:ea typeface="+mn-ea"/>
              <a:cs typeface="+mn-cs"/>
            </a:rPr>
            <a:t>Numbers (Mac) </a:t>
          </a:r>
          <a:r>
            <a:rPr lang="en-US" sz="1000">
              <a:solidFill>
                <a:schemeClr val="bg1"/>
              </a:solidFill>
              <a:effectLst/>
              <a:latin typeface="+mn-lt"/>
              <a:ea typeface="+mn-ea"/>
              <a:cs typeface="+mn-cs"/>
            </a:rPr>
            <a:t>or open source software, for instance </a:t>
          </a:r>
          <a:r>
            <a:rPr lang="en-US" sz="1000" i="1">
              <a:solidFill>
                <a:schemeClr val="bg1"/>
              </a:solidFill>
              <a:effectLst/>
              <a:latin typeface="+mn-lt"/>
              <a:ea typeface="+mn-ea"/>
              <a:cs typeface="+mn-cs"/>
            </a:rPr>
            <a:t>Open Office</a:t>
          </a:r>
          <a:r>
            <a:rPr lang="en-US" sz="1000">
              <a:solidFill>
                <a:schemeClr val="bg1"/>
              </a:solidFill>
              <a:effectLst/>
              <a:latin typeface="+mn-lt"/>
              <a:ea typeface="+mn-ea"/>
              <a:cs typeface="+mn-cs"/>
            </a:rPr>
            <a:t> or </a:t>
          </a:r>
          <a:r>
            <a:rPr lang="en-US" sz="1000" i="1">
              <a:solidFill>
                <a:schemeClr val="bg1"/>
              </a:solidFill>
              <a:effectLst/>
              <a:latin typeface="+mn-lt"/>
              <a:ea typeface="+mn-ea"/>
              <a:cs typeface="+mn-cs"/>
            </a:rPr>
            <a:t>LibreOffice</a:t>
          </a:r>
          <a:r>
            <a:rPr lang="en-US" sz="1000">
              <a:solidFill>
                <a:schemeClr val="bg1"/>
              </a:solidFill>
              <a:effectLst/>
              <a:latin typeface="+mn-lt"/>
              <a:ea typeface="+mn-ea"/>
              <a:cs typeface="+mn-cs"/>
            </a:rPr>
            <a:t>, you need to email your budget (saved as an xlsx-file) to support.e-grant@ufm.dk and state which software you are using. E-grant support will then technically adapt the budget so that it can be uploaded to e-grant. The adapted budget will be emailed back to you. </a:t>
          </a:r>
        </a:p>
      </xdr:txBody>
    </xdr:sp>
    <xdr:clientData/>
  </xdr:twoCellAnchor>
  <xdr:twoCellAnchor>
    <xdr:from>
      <xdr:col>11</xdr:col>
      <xdr:colOff>609599</xdr:colOff>
      <xdr:row>16</xdr:row>
      <xdr:rowOff>380999</xdr:rowOff>
    </xdr:from>
    <xdr:to>
      <xdr:col>18</xdr:col>
      <xdr:colOff>276224</xdr:colOff>
      <xdr:row>26</xdr:row>
      <xdr:rowOff>47624</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7315199" y="2971799"/>
          <a:ext cx="3933825" cy="15335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000" b="1" i="0">
              <a:solidFill>
                <a:srgbClr val="014A69"/>
              </a:solidFill>
              <a:effectLst/>
              <a:latin typeface="+mn-lt"/>
              <a:ea typeface="+mn-ea"/>
              <a:cs typeface="+mn-cs"/>
            </a:rPr>
            <a:t>Office of Independent Research</a:t>
          </a:r>
          <a:r>
            <a:rPr lang="en-US" sz="1000" b="1" i="0" baseline="0">
              <a:solidFill>
                <a:srgbClr val="014A69"/>
              </a:solidFill>
              <a:effectLst/>
              <a:latin typeface="+mn-lt"/>
              <a:ea typeface="+mn-ea"/>
              <a:cs typeface="+mn-cs"/>
            </a:rPr>
            <a:t> Fund Denmark (DFF)</a:t>
          </a:r>
          <a:endParaRPr lang="da-DK" sz="1000">
            <a:solidFill>
              <a:srgbClr val="014A69"/>
            </a:solidFill>
            <a:effectLst/>
          </a:endParaRPr>
        </a:p>
        <a:p>
          <a:r>
            <a:rPr lang="en-US" sz="1000">
              <a:solidFill>
                <a:srgbClr val="014A69"/>
              </a:solidFill>
              <a:effectLst/>
              <a:latin typeface="+mn-lt"/>
              <a:ea typeface="+mn-ea"/>
              <a:cs typeface="+mn-cs"/>
            </a:rPr>
            <a:t>Phone: +45 7231 8200</a:t>
          </a:r>
          <a:r>
            <a:rPr lang="en-US" sz="1000" baseline="0">
              <a:solidFill>
                <a:srgbClr val="014A69"/>
              </a:solidFill>
              <a:effectLst/>
              <a:latin typeface="+mn-lt"/>
              <a:ea typeface="+mn-ea"/>
              <a:cs typeface="+mn-cs"/>
            </a:rPr>
            <a:t>  (week days 10 a.m. - 2 p.m.)</a:t>
          </a:r>
          <a:endParaRPr lang="da-DK" sz="1000">
            <a:solidFill>
              <a:srgbClr val="014A69"/>
            </a:solidFill>
            <a:effectLst/>
          </a:endParaRPr>
        </a:p>
        <a:p>
          <a:r>
            <a:rPr lang="da-DK" sz="1000" b="0">
              <a:solidFill>
                <a:srgbClr val="014A69"/>
              </a:solidFill>
              <a:effectLst/>
              <a:latin typeface="+mn-lt"/>
              <a:ea typeface="+mn-ea"/>
              <a:cs typeface="+mn-cs"/>
            </a:rPr>
            <a:t>Email: DFF-opslag@ufm.dk</a:t>
          </a:r>
        </a:p>
        <a:p>
          <a:endParaRPr lang="da-DK" sz="1000">
            <a:solidFill>
              <a:srgbClr val="014A69"/>
            </a:solidFill>
            <a:effectLst/>
          </a:endParaRPr>
        </a:p>
        <a:p>
          <a:r>
            <a:rPr lang="en-US" sz="1000" b="1" i="0">
              <a:solidFill>
                <a:srgbClr val="014A69"/>
              </a:solidFill>
              <a:effectLst/>
              <a:latin typeface="+mn-lt"/>
              <a:ea typeface="+mn-ea"/>
              <a:cs typeface="+mn-cs"/>
            </a:rPr>
            <a:t>E-grant support</a:t>
          </a:r>
          <a:endParaRPr lang="da-DK" sz="1000">
            <a:solidFill>
              <a:srgbClr val="014A69"/>
            </a:solidFill>
            <a:effectLst/>
          </a:endParaRPr>
        </a:p>
        <a:p>
          <a:r>
            <a:rPr lang="en-US" sz="1000">
              <a:solidFill>
                <a:srgbClr val="014A69"/>
              </a:solidFill>
              <a:effectLst/>
              <a:latin typeface="+mn-lt"/>
              <a:ea typeface="+mn-ea"/>
              <a:cs typeface="+mn-cs"/>
            </a:rPr>
            <a:t>Phone: +45</a:t>
          </a:r>
          <a:r>
            <a:rPr lang="en-US" sz="1000" baseline="0">
              <a:solidFill>
                <a:srgbClr val="014A69"/>
              </a:solidFill>
              <a:effectLst/>
              <a:latin typeface="+mn-lt"/>
              <a:ea typeface="+mn-ea"/>
              <a:cs typeface="+mn-cs"/>
            </a:rPr>
            <a:t> </a:t>
          </a:r>
          <a:r>
            <a:rPr lang="en-US" sz="1000">
              <a:solidFill>
                <a:srgbClr val="014A69"/>
              </a:solidFill>
              <a:effectLst/>
              <a:latin typeface="+mn-lt"/>
              <a:ea typeface="+mn-ea"/>
              <a:cs typeface="+mn-cs"/>
            </a:rPr>
            <a:t>3392 9190 (week days 9 a.m. - 12 noon.)</a:t>
          </a:r>
          <a:endParaRPr lang="da-DK" sz="1000">
            <a:solidFill>
              <a:srgbClr val="014A69"/>
            </a:solidFill>
            <a:effectLst/>
          </a:endParaRPr>
        </a:p>
        <a:p>
          <a:r>
            <a:rPr lang="da-DK" sz="1000" b="0">
              <a:solidFill>
                <a:srgbClr val="014A69"/>
              </a:solidFill>
              <a:effectLst/>
              <a:latin typeface="+mn-lt"/>
              <a:ea typeface="+mn-ea"/>
              <a:cs typeface="+mn-cs"/>
            </a:rPr>
            <a:t>Email: support.e-grant@ufm.dk </a:t>
          </a:r>
          <a:endParaRPr lang="da-DK" sz="1000">
            <a:solidFill>
              <a:srgbClr val="014A69"/>
            </a:solidFill>
            <a:effectLst/>
          </a:endParaRPr>
        </a:p>
        <a:p>
          <a:endParaRPr lang="da-DK" sz="1100"/>
        </a:p>
      </xdr:txBody>
    </xdr:sp>
    <xdr:clientData/>
  </xdr:twoCellAnchor>
  <xdr:twoCellAnchor>
    <xdr:from>
      <xdr:col>0</xdr:col>
      <xdr:colOff>9525</xdr:colOff>
      <xdr:row>0</xdr:row>
      <xdr:rowOff>19050</xdr:rowOff>
    </xdr:from>
    <xdr:to>
      <xdr:col>11</xdr:col>
      <xdr:colOff>104775</xdr:colOff>
      <xdr:row>9</xdr:row>
      <xdr:rowOff>85725</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9525" y="19050"/>
          <a:ext cx="6800850" cy="15240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eaLnBrk="1" fontAlgn="auto" latinLnBrk="0" hangingPunct="1"/>
          <a:r>
            <a:rPr lang="en-US" sz="1600" b="1">
              <a:solidFill>
                <a:srgbClr val="014A69"/>
              </a:solidFill>
              <a:effectLst/>
              <a:latin typeface="+mn-lt"/>
              <a:ea typeface="+mn-ea"/>
              <a:cs typeface="+mn-cs"/>
            </a:rPr>
            <a:t>Independent Research Fund Denmark</a:t>
          </a:r>
        </a:p>
        <a:p>
          <a:pPr eaLnBrk="1" fontAlgn="auto" latinLnBrk="0" hangingPunct="1"/>
          <a:r>
            <a:rPr lang="en-US" sz="1200" b="1">
              <a:solidFill>
                <a:srgbClr val="014A69"/>
              </a:solidFill>
              <a:effectLst/>
              <a:latin typeface="+mn-lt"/>
              <a:ea typeface="+mn-ea"/>
              <a:cs typeface="+mn-cs"/>
            </a:rPr>
            <a:t>Instructions</a:t>
          </a:r>
        </a:p>
        <a:p>
          <a:pPr eaLnBrk="1" fontAlgn="auto" latinLnBrk="0" hangingPunct="1"/>
          <a:r>
            <a:rPr lang="en-US" sz="1000">
              <a:solidFill>
                <a:srgbClr val="014A69"/>
              </a:solidFill>
              <a:effectLst/>
              <a:latin typeface="+mn-lt"/>
              <a:ea typeface="+mn-ea"/>
              <a:cs typeface="+mn-cs"/>
            </a:rPr>
            <a:t>You are kindly requested to read these guidelines, as they will be useful to you in connection with filling in the budget template correctly. Please also read </a:t>
          </a:r>
          <a:r>
            <a:rPr lang="en-US" sz="1000" b="0">
              <a:solidFill>
                <a:srgbClr val="014A69"/>
              </a:solidFill>
              <a:effectLst/>
              <a:latin typeface="+mn-lt"/>
              <a:ea typeface="+mn-ea"/>
              <a:cs typeface="+mn-cs"/>
            </a:rPr>
            <a:t>the Call for proposals for further information.</a:t>
          </a:r>
          <a:endParaRPr lang="da-DK" sz="1000">
            <a:solidFill>
              <a:srgbClr val="014A69"/>
            </a:solidFill>
            <a:effectLst/>
          </a:endParaRPr>
        </a:p>
        <a:p>
          <a:pPr eaLnBrk="1" fontAlgn="auto" latinLnBrk="0" hangingPunct="1"/>
          <a:r>
            <a:rPr lang="da-DK" sz="1000" b="0">
              <a:solidFill>
                <a:srgbClr val="014A69"/>
              </a:solidFill>
              <a:effectLst/>
              <a:latin typeface="+mn-lt"/>
              <a:ea typeface="+mn-ea"/>
              <a:cs typeface="+mn-cs"/>
            </a:rPr>
            <a:t> </a:t>
          </a:r>
          <a:endParaRPr lang="da-DK" sz="1000">
            <a:solidFill>
              <a:srgbClr val="014A69"/>
            </a:solidFill>
            <a:effectLst/>
          </a:endParaRPr>
        </a:p>
        <a:p>
          <a:pPr eaLnBrk="1" fontAlgn="auto" latinLnBrk="0" hangingPunct="1"/>
          <a:r>
            <a:rPr lang="en-US" sz="1000" b="0">
              <a:solidFill>
                <a:srgbClr val="014A69"/>
              </a:solidFill>
              <a:effectLst/>
              <a:latin typeface="+mn-lt"/>
              <a:ea typeface="+mn-ea"/>
              <a:cs typeface="+mn-cs"/>
            </a:rPr>
            <a:t>After filling in the budget it must be uploaded to the application form in e-grant. When you submit your application, a PDF file will be created. This PDF file will be used in connection with the assessment of your application and contains certain information from </a:t>
          </a:r>
          <a:r>
            <a:rPr lang="en-US" sz="1000">
              <a:solidFill>
                <a:srgbClr val="014A69"/>
              </a:solidFill>
              <a:effectLst/>
              <a:latin typeface="+mn-lt"/>
              <a:ea typeface="+mn-ea"/>
              <a:cs typeface="+mn-cs"/>
            </a:rPr>
            <a:t>your budget, etc. </a:t>
          </a:r>
          <a:endParaRPr lang="da-DK" sz="1000">
            <a:solidFill>
              <a:srgbClr val="014A69"/>
            </a:solidFill>
            <a:effectLst/>
          </a:endParaRPr>
        </a:p>
      </xdr:txBody>
    </xdr:sp>
    <xdr:clientData/>
  </xdr:twoCellAnchor>
  <xdr:twoCellAnchor>
    <xdr:from>
      <xdr:col>0</xdr:col>
      <xdr:colOff>9525</xdr:colOff>
      <xdr:row>9</xdr:row>
      <xdr:rowOff>9525</xdr:rowOff>
    </xdr:from>
    <xdr:to>
      <xdr:col>11</xdr:col>
      <xdr:colOff>104775</xdr:colOff>
      <xdr:row>20</xdr:row>
      <xdr:rowOff>28576</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9525" y="1466850"/>
          <a:ext cx="6800850" cy="204787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Structure</a:t>
          </a:r>
          <a:endParaRPr lang="da-DK" sz="1400">
            <a:solidFill>
              <a:srgbClr val="014A69"/>
            </a:solidFill>
            <a:effectLst/>
          </a:endParaRPr>
        </a:p>
        <a:p>
          <a:r>
            <a:rPr lang="en-US" sz="1000">
              <a:solidFill>
                <a:srgbClr val="014A69"/>
              </a:solidFill>
              <a:effectLst/>
              <a:latin typeface="+mn-lt"/>
              <a:ea typeface="+mn-ea"/>
              <a:cs typeface="+mn-cs"/>
            </a:rPr>
            <a:t>This file consists of the following sheets:</a:t>
          </a:r>
          <a:endParaRPr lang="da-DK" sz="1000">
            <a:solidFill>
              <a:srgbClr val="014A69"/>
            </a:solidFill>
            <a:effectLst/>
          </a:endParaRPr>
        </a:p>
        <a:p>
          <a:r>
            <a:rPr lang="en-US" sz="1000" b="1">
              <a:solidFill>
                <a:srgbClr val="014A69"/>
              </a:solidFill>
              <a:effectLst/>
              <a:latin typeface="+mn-lt"/>
              <a:ea typeface="+mn-ea"/>
              <a:cs typeface="+mn-cs"/>
            </a:rPr>
            <a:t>Budget</a:t>
          </a:r>
          <a:endParaRPr lang="da-DK" sz="1000">
            <a:solidFill>
              <a:srgbClr val="014A69"/>
            </a:solidFill>
            <a:effectLst/>
          </a:endParaRPr>
        </a:p>
        <a:p>
          <a:pPr eaLnBrk="1" fontAlgn="auto" latinLnBrk="0" hangingPunct="1"/>
          <a:r>
            <a:rPr lang="en-US" sz="1000">
              <a:solidFill>
                <a:srgbClr val="014A69"/>
              </a:solidFill>
              <a:effectLst/>
              <a:latin typeface="+mn-lt"/>
              <a:ea typeface="+mn-ea"/>
              <a:cs typeface="+mn-cs"/>
            </a:rPr>
            <a:t>Use this sheet to fill in the </a:t>
          </a:r>
          <a:r>
            <a:rPr lang="en-US" sz="1000" b="0">
              <a:solidFill>
                <a:srgbClr val="014A69"/>
              </a:solidFill>
              <a:effectLst/>
              <a:latin typeface="+mn-lt"/>
              <a:ea typeface="+mn-ea"/>
              <a:cs typeface="+mn-cs"/>
            </a:rPr>
            <a:t>budget. This is the only sheet where you can enter data.</a:t>
          </a:r>
        </a:p>
        <a:p>
          <a:pPr eaLnBrk="1" fontAlgn="auto" latinLnBrk="0" hangingPunct="1"/>
          <a:r>
            <a:rPr lang="da-DK" sz="1000" b="1">
              <a:solidFill>
                <a:srgbClr val="014A69"/>
              </a:solidFill>
              <a:effectLst/>
            </a:rPr>
            <a:t>Instructions</a:t>
          </a:r>
          <a:r>
            <a:rPr lang="da-DK" sz="1000">
              <a:solidFill>
                <a:srgbClr val="014A69"/>
              </a:solidFill>
              <a:effectLst/>
            </a:rPr>
            <a:t> (this sheet)</a:t>
          </a:r>
        </a:p>
        <a:p>
          <a:r>
            <a:rPr lang="en-US" sz="1000" b="1">
              <a:solidFill>
                <a:srgbClr val="014A69"/>
              </a:solidFill>
              <a:effectLst/>
              <a:latin typeface="+mn-lt"/>
              <a:ea typeface="+mn-ea"/>
              <a:cs typeface="+mn-cs"/>
            </a:rPr>
            <a:t>Overview - Participants</a:t>
          </a:r>
        </a:p>
        <a:p>
          <a:r>
            <a:rPr lang="en-US" sz="1000" b="0">
              <a:solidFill>
                <a:srgbClr val="014A69"/>
              </a:solidFill>
              <a:effectLst/>
              <a:latin typeface="+mn-lt"/>
              <a:ea typeface="+mn-ea"/>
              <a:cs typeface="+mn-cs"/>
            </a:rPr>
            <a:t>This sheet shows a specification of the salary expenses. This sheet will be attached to the PDF file. </a:t>
          </a:r>
        </a:p>
        <a:p>
          <a:r>
            <a:rPr lang="en-US" sz="1000" b="1">
              <a:solidFill>
                <a:srgbClr val="014A69"/>
              </a:solidFill>
              <a:effectLst/>
              <a:latin typeface="+mn-lt"/>
              <a:ea typeface="+mn-ea"/>
              <a:cs typeface="+mn-cs"/>
            </a:rPr>
            <a:t>Overview - Expenses</a:t>
          </a:r>
          <a:endParaRPr lang="da-DK" sz="1000">
            <a:solidFill>
              <a:srgbClr val="014A69"/>
            </a:solidFill>
            <a:effectLst/>
          </a:endParaRPr>
        </a:p>
        <a:p>
          <a:r>
            <a:rPr lang="en-US" sz="1000">
              <a:solidFill>
                <a:srgbClr val="014A69"/>
              </a:solidFill>
              <a:effectLst/>
              <a:latin typeface="+mn-lt"/>
              <a:ea typeface="+mn-ea"/>
              <a:cs typeface="+mn-cs"/>
            </a:rPr>
            <a:t>This sheet shows an overview of the total expenses and a specification of the operating and equipment expenses. This sheet will be attachted to </a:t>
          </a:r>
          <a:r>
            <a:rPr lang="en-US" sz="1000" b="0">
              <a:solidFill>
                <a:srgbClr val="014A69"/>
              </a:solidFill>
              <a:effectLst/>
              <a:latin typeface="+mn-lt"/>
              <a:ea typeface="+mn-ea"/>
              <a:cs typeface="+mn-cs"/>
            </a:rPr>
            <a:t>the PDF file.</a:t>
          </a:r>
          <a:endParaRPr lang="da-DK" sz="1000">
            <a:solidFill>
              <a:srgbClr val="014A69"/>
            </a:solidFill>
            <a:effectLst/>
          </a:endParaRPr>
        </a:p>
        <a:p>
          <a:r>
            <a:rPr lang="en-US" sz="1000" b="1">
              <a:solidFill>
                <a:srgbClr val="014A69"/>
              </a:solidFill>
              <a:effectLst/>
              <a:latin typeface="+mn-lt"/>
              <a:ea typeface="+mn-ea"/>
              <a:cs typeface="+mn-cs"/>
            </a:rPr>
            <a:t>Overhead rates table</a:t>
          </a:r>
          <a:endParaRPr lang="da-DK" sz="1000">
            <a:solidFill>
              <a:srgbClr val="014A69"/>
            </a:solidFill>
            <a:effectLst/>
          </a:endParaRPr>
        </a:p>
        <a:p>
          <a:r>
            <a:rPr lang="en-US" sz="1000">
              <a:solidFill>
                <a:srgbClr val="014A69"/>
              </a:solidFill>
              <a:effectLst/>
              <a:latin typeface="+mn-lt"/>
              <a:ea typeface="+mn-ea"/>
              <a:cs typeface="+mn-cs"/>
            </a:rPr>
            <a:t>Current overhead/administrative rates overview</a:t>
          </a:r>
          <a:endParaRPr lang="da-DK" sz="1000">
            <a:solidFill>
              <a:srgbClr val="014A69"/>
            </a:solidFill>
            <a:effectLst/>
          </a:endParaRPr>
        </a:p>
      </xdr:txBody>
    </xdr:sp>
    <xdr:clientData/>
  </xdr:twoCellAnchor>
  <xdr:twoCellAnchor>
    <xdr:from>
      <xdr:col>0</xdr:col>
      <xdr:colOff>0</xdr:colOff>
      <xdr:row>45</xdr:row>
      <xdr:rowOff>81242</xdr:rowOff>
    </xdr:from>
    <xdr:to>
      <xdr:col>11</xdr:col>
      <xdr:colOff>95250</xdr:colOff>
      <xdr:row>69</xdr:row>
      <xdr:rowOff>89647</xdr:rowOff>
    </xdr:to>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0" y="7398683"/>
          <a:ext cx="6751544" cy="377358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Technical instructions</a:t>
          </a:r>
        </a:p>
        <a:p>
          <a:r>
            <a:rPr lang="en-US" sz="1000" b="1">
              <a:solidFill>
                <a:srgbClr val="014A69"/>
              </a:solidFill>
              <a:effectLst/>
              <a:latin typeface="+mn-lt"/>
              <a:ea typeface="+mn-ea"/>
              <a:cs typeface="+mn-cs"/>
            </a:rPr>
            <a:t>Copy and paste</a:t>
          </a:r>
          <a:endParaRPr lang="da-DK" sz="1000">
            <a:solidFill>
              <a:srgbClr val="014A69"/>
            </a:solidFill>
            <a:effectLst/>
          </a:endParaRPr>
        </a:p>
        <a:p>
          <a:r>
            <a:rPr lang="en-US" sz="1000">
              <a:solidFill>
                <a:srgbClr val="014A69"/>
              </a:solidFill>
              <a:effectLst/>
              <a:latin typeface="+mn-lt"/>
              <a:ea typeface="+mn-ea"/>
              <a:cs typeface="+mn-cs"/>
            </a:rPr>
            <a:t>Please </a:t>
          </a:r>
          <a:r>
            <a:rPr lang="en-US" sz="1000" b="1" u="sng">
              <a:solidFill>
                <a:srgbClr val="014A69"/>
              </a:solidFill>
              <a:effectLst/>
              <a:latin typeface="+mn-lt"/>
              <a:ea typeface="+mn-ea"/>
              <a:cs typeface="+mn-cs"/>
            </a:rPr>
            <a:t>do not</a:t>
          </a:r>
          <a:r>
            <a:rPr lang="en-US" sz="1000">
              <a:solidFill>
                <a:srgbClr val="014A69"/>
              </a:solidFill>
              <a:effectLst/>
              <a:latin typeface="+mn-lt"/>
              <a:ea typeface="+mn-ea"/>
              <a:cs typeface="+mn-cs"/>
            </a:rPr>
            <a:t> copy and paste information, e.g. from one cell to another in the spreadsheet, as this will result in problems when uploading the budget to e-grant. </a:t>
          </a:r>
          <a:endParaRPr lang="da-DK" sz="1000">
            <a:solidFill>
              <a:srgbClr val="014A69"/>
            </a:solidFill>
            <a:effectLst/>
          </a:endParaRPr>
        </a:p>
        <a:p>
          <a:r>
            <a:rPr lang="en-US" sz="1000" b="1">
              <a:solidFill>
                <a:srgbClr val="014A69"/>
              </a:solidFill>
              <a:effectLst/>
              <a:latin typeface="+mn-lt"/>
              <a:ea typeface="+mn-ea"/>
              <a:cs typeface="+mn-cs"/>
            </a:rPr>
            <a:t>Cell colours</a:t>
          </a:r>
          <a:endParaRPr lang="da-DK" sz="1000">
            <a:solidFill>
              <a:srgbClr val="014A69"/>
            </a:solidFill>
            <a:effectLst/>
          </a:endParaRPr>
        </a:p>
        <a:p>
          <a:r>
            <a:rPr lang="en-US" sz="1000">
              <a:solidFill>
                <a:srgbClr val="014A69"/>
              </a:solidFill>
              <a:effectLst/>
              <a:latin typeface="+mn-lt"/>
              <a:ea typeface="+mn-ea"/>
              <a:cs typeface="+mn-cs"/>
            </a:rPr>
            <a:t>The cells have different colours:</a:t>
          </a:r>
          <a:endParaRPr lang="da-DK" sz="1000">
            <a:solidFill>
              <a:srgbClr val="014A69"/>
            </a:solidFill>
            <a:effectLst/>
          </a:endParaRPr>
        </a:p>
        <a:p>
          <a:r>
            <a:rPr lang="en-US" sz="1000">
              <a:solidFill>
                <a:srgbClr val="014A69"/>
              </a:solidFill>
              <a:effectLst/>
              <a:latin typeface="+mn-lt"/>
              <a:ea typeface="+mn-ea"/>
              <a:cs typeface="+mn-cs"/>
            </a:rPr>
            <a:t>Grey: Do not enter data.</a:t>
          </a:r>
          <a:endParaRPr lang="da-DK" sz="1000">
            <a:solidFill>
              <a:srgbClr val="014A69"/>
            </a:solidFill>
            <a:effectLst/>
          </a:endParaRPr>
        </a:p>
        <a:p>
          <a:r>
            <a:rPr lang="en-US" sz="1000">
              <a:solidFill>
                <a:srgbClr val="014A69"/>
              </a:solidFill>
              <a:effectLst/>
              <a:latin typeface="+mn-lt"/>
              <a:ea typeface="+mn-ea"/>
              <a:cs typeface="+mn-cs"/>
            </a:rPr>
            <a:t>White: Cells where you can enter data.</a:t>
          </a:r>
          <a:endParaRPr lang="da-DK" sz="1000">
            <a:solidFill>
              <a:srgbClr val="014A69"/>
            </a:solidFill>
            <a:effectLst/>
          </a:endParaRPr>
        </a:p>
        <a:p>
          <a:r>
            <a:rPr lang="en-US" sz="1000">
              <a:solidFill>
                <a:srgbClr val="014A69"/>
              </a:solidFill>
              <a:effectLst/>
              <a:latin typeface="+mn-lt"/>
              <a:ea typeface="+mn-ea"/>
              <a:cs typeface="+mn-cs"/>
            </a:rPr>
            <a:t>Red: Mandatory </a:t>
          </a:r>
          <a:r>
            <a:rPr lang="en-US" sz="1000" b="0">
              <a:solidFill>
                <a:srgbClr val="014A69"/>
              </a:solidFill>
              <a:effectLst/>
              <a:latin typeface="+mn-lt"/>
              <a:ea typeface="+mn-ea"/>
              <a:cs typeface="+mn-cs"/>
            </a:rPr>
            <a:t>cells. Note: If you enter data for an institution, the cells for the next institution will be marked red. These cells are only mandatory if you need to enter data for this institution.</a:t>
          </a:r>
        </a:p>
        <a:p>
          <a:r>
            <a:rPr lang="da-DK" sz="1000">
              <a:solidFill>
                <a:srgbClr val="014A69"/>
              </a:solidFill>
              <a:effectLst/>
            </a:rPr>
            <a:t>Yellow: You have entered budget data for a year that is not covered by the period between start and end date stated at the top of the sheet (cells C6-C7).</a:t>
          </a:r>
        </a:p>
        <a:p>
          <a:r>
            <a:rPr lang="da-DK" sz="1000" b="1">
              <a:solidFill>
                <a:srgbClr val="014A69"/>
              </a:solidFill>
            </a:rPr>
            <a:t>Danish institutions:</a:t>
          </a:r>
        </a:p>
        <a:p>
          <a:r>
            <a:rPr lang="da-DK" sz="1000" b="0">
              <a:solidFill>
                <a:srgbClr val="014A69"/>
              </a:solidFill>
            </a:rPr>
            <a:t>If the institution is Danish, a CVR no. must be filled in. If there is more than one institution with the same institution name, a P no. and department name must also be filled in.</a:t>
          </a:r>
        </a:p>
        <a:p>
          <a:r>
            <a:rPr lang="da-DK" sz="1000" b="0">
              <a:solidFill>
                <a:srgbClr val="014A69"/>
              </a:solidFill>
            </a:rPr>
            <a:t>In addition to CVR no. (and P no.), institution name, institution type, overhead percentage, address, postcode, city and country must also be filled in.</a:t>
          </a:r>
        </a:p>
        <a:p>
          <a:r>
            <a:rPr lang="da-DK" sz="1000" b="1">
              <a:solidFill>
                <a:srgbClr val="014A69"/>
              </a:solidFill>
            </a:rPr>
            <a:t>Foreign institutions:</a:t>
          </a:r>
        </a:p>
        <a:p>
          <a:r>
            <a:rPr lang="da-DK" sz="1000" b="0">
              <a:solidFill>
                <a:srgbClr val="014A69"/>
              </a:solidFill>
            </a:rPr>
            <a:t>If the institution is foreign, address, postcode, city, country and email must be filled in. If there is more than one institution with the same institution name, the department name must also be filled in.</a:t>
          </a:r>
        </a:p>
        <a:p>
          <a:r>
            <a:rPr lang="da-DK" sz="1000" b="0">
              <a:solidFill>
                <a:srgbClr val="014A69"/>
              </a:solidFill>
            </a:rPr>
            <a:t>In addition to the address, postcode, city, country and email, the institution name and institution type must also be filled in.</a:t>
          </a:r>
        </a:p>
        <a:p>
          <a:r>
            <a:rPr lang="da-DK" sz="1000" b="1">
              <a:solidFill>
                <a:srgbClr val="014A69"/>
              </a:solidFill>
            </a:rPr>
            <a:t>More than 11 participating institutions</a:t>
          </a:r>
          <a:r>
            <a:rPr lang="da-DK" sz="1000">
              <a:solidFill>
                <a:srgbClr val="014A69"/>
              </a:solidFill>
            </a:rPr>
            <a:t>:</a:t>
          </a:r>
        </a:p>
        <a:p>
          <a:r>
            <a:rPr lang="da-DK" sz="1000">
              <a:solidFill>
                <a:srgbClr val="014A69"/>
              </a:solidFill>
            </a:rPr>
            <a:t>Please contact e-grant support: support.e-grant@ufm.dk </a:t>
          </a:r>
        </a:p>
        <a:p>
          <a:endParaRPr lang="da-DK" sz="1000">
            <a:solidFill>
              <a:srgbClr val="014A69"/>
            </a:solidFill>
          </a:endParaRPr>
        </a:p>
      </xdr:txBody>
    </xdr:sp>
    <xdr:clientData/>
  </xdr:twoCellAnchor>
  <xdr:twoCellAnchor>
    <xdr:from>
      <xdr:col>0</xdr:col>
      <xdr:colOff>0</xdr:colOff>
      <xdr:row>69</xdr:row>
      <xdr:rowOff>28574</xdr:rowOff>
    </xdr:from>
    <xdr:to>
      <xdr:col>11</xdr:col>
      <xdr:colOff>11206</xdr:colOff>
      <xdr:row>78</xdr:row>
      <xdr:rowOff>112059</xdr:rowOff>
    </xdr:to>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0" y="11111192"/>
          <a:ext cx="6667500" cy="149542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200" b="1">
              <a:solidFill>
                <a:srgbClr val="014A69"/>
              </a:solidFill>
              <a:effectLst/>
              <a:latin typeface="+mn-lt"/>
              <a:ea typeface="+mn-ea"/>
              <a:cs typeface="+mn-cs"/>
            </a:rPr>
            <a:t>Definitions</a:t>
          </a:r>
          <a:endParaRPr lang="da-DK" sz="1200">
            <a:solidFill>
              <a:srgbClr val="014A69"/>
            </a:solidFill>
            <a:effectLst/>
            <a:latin typeface="+mn-lt"/>
            <a:ea typeface="+mn-ea"/>
            <a:cs typeface="+mn-cs"/>
          </a:endParaRPr>
        </a:p>
        <a:p>
          <a:r>
            <a:rPr lang="en-US" sz="1000" b="1">
              <a:solidFill>
                <a:srgbClr val="014A69"/>
              </a:solidFill>
              <a:effectLst/>
              <a:latin typeface="+mn-lt"/>
              <a:ea typeface="+mn-ea"/>
              <a:cs typeface="+mn-cs"/>
            </a:rPr>
            <a:t>Co-financing: </a:t>
          </a:r>
          <a:r>
            <a:rPr lang="en-US" sz="1000">
              <a:solidFill>
                <a:srgbClr val="014A69"/>
              </a:solidFill>
              <a:effectLst/>
              <a:latin typeface="+mn-lt"/>
              <a:ea typeface="+mn-ea"/>
              <a:cs typeface="+mn-cs"/>
            </a:rPr>
            <a:t>Contributions from the participating institutions </a:t>
          </a:r>
          <a:endParaRPr lang="da-DK" sz="1000">
            <a:solidFill>
              <a:srgbClr val="014A69"/>
            </a:solidFill>
            <a:effectLst/>
            <a:latin typeface="+mn-lt"/>
            <a:ea typeface="+mn-ea"/>
            <a:cs typeface="+mn-cs"/>
          </a:endParaRPr>
        </a:p>
        <a:p>
          <a:r>
            <a:rPr lang="en-US" sz="1000" b="1">
              <a:solidFill>
                <a:srgbClr val="014A69"/>
              </a:solidFill>
              <a:effectLst/>
              <a:latin typeface="+mn-lt"/>
              <a:ea typeface="+mn-ea"/>
              <a:cs typeface="+mn-cs"/>
            </a:rPr>
            <a:t>Other sources: </a:t>
          </a:r>
          <a:r>
            <a:rPr lang="en-US" sz="1000">
              <a:solidFill>
                <a:srgbClr val="014A69"/>
              </a:solidFill>
              <a:effectLst/>
              <a:latin typeface="+mn-lt"/>
              <a:ea typeface="+mn-ea"/>
              <a:cs typeface="+mn-cs"/>
            </a:rPr>
            <a:t>Contributions from institutions, companies or organisations merely funding the project without participating actively in the project activities</a:t>
          </a:r>
          <a:endParaRPr lang="da-DK" sz="1000">
            <a:solidFill>
              <a:srgbClr val="014A69"/>
            </a:solidFill>
            <a:effectLst/>
            <a:latin typeface="+mn-lt"/>
            <a:ea typeface="+mn-ea"/>
            <a:cs typeface="+mn-cs"/>
          </a:endParaRPr>
        </a:p>
        <a:p>
          <a:r>
            <a:rPr lang="en-US" sz="1000" b="1">
              <a:solidFill>
                <a:srgbClr val="014A69"/>
              </a:solidFill>
              <a:effectLst/>
              <a:latin typeface="+mn-lt"/>
              <a:ea typeface="+mn-ea"/>
              <a:cs typeface="+mn-cs"/>
            </a:rPr>
            <a:t>PhD age: </a:t>
          </a:r>
          <a:r>
            <a:rPr lang="da-DK" sz="1000">
              <a:solidFill>
                <a:schemeClr val="tx2"/>
              </a:solidFill>
              <a:effectLst/>
              <a:latin typeface="+mn-lt"/>
              <a:ea typeface="+mn-ea"/>
              <a:cs typeface="+mn-cs"/>
            </a:rPr>
            <a:t>The PhD degree of postdocs involved in the project normally must not exceed a certain age. </a:t>
          </a:r>
          <a:br>
            <a:rPr lang="da-DK" sz="1000">
              <a:solidFill>
                <a:schemeClr val="tx2"/>
              </a:solidFill>
              <a:effectLst/>
              <a:latin typeface="+mn-lt"/>
              <a:ea typeface="+mn-ea"/>
              <a:cs typeface="+mn-cs"/>
            </a:rPr>
          </a:br>
          <a:r>
            <a:rPr lang="da-DK" sz="1000">
              <a:solidFill>
                <a:schemeClr val="tx2"/>
              </a:solidFill>
              <a:effectLst/>
              <a:latin typeface="+mn-lt"/>
              <a:ea typeface="+mn-ea"/>
              <a:cs typeface="+mn-cs"/>
            </a:rPr>
            <a:t>The date on which they were awarded the degree of PhD, as stated on the PhD diploma, will be used to calculate the age of their degree.</a:t>
          </a:r>
          <a:r>
            <a:rPr lang="da-DK" sz="1000" baseline="0">
              <a:solidFill>
                <a:schemeClr val="tx2"/>
              </a:solidFill>
              <a:effectLst/>
              <a:latin typeface="+mn-lt"/>
              <a:ea typeface="+mn-ea"/>
              <a:cs typeface="+mn-cs"/>
            </a:rPr>
            <a:t> </a:t>
          </a:r>
          <a:r>
            <a:rPr lang="da-DK" sz="1000">
              <a:solidFill>
                <a:schemeClr val="tx2"/>
              </a:solidFill>
              <a:effectLst/>
              <a:latin typeface="+mn-lt"/>
              <a:ea typeface="+mn-ea"/>
              <a:cs typeface="+mn-cs"/>
            </a:rPr>
            <a:t>Certain kinds of leaves of absence after obtaining the PhD degree may be deducted from their PhD age. Please see the call to find more details concerning calculation of the PhD age.</a:t>
          </a:r>
          <a:endParaRPr lang="da-DK" sz="1000">
            <a:solidFill>
              <a:schemeClr val="tx2"/>
            </a:solidFill>
          </a:endParaRPr>
        </a:p>
      </xdr:txBody>
    </xdr:sp>
    <xdr:clientData/>
  </xdr:twoCellAnchor>
  <xdr:twoCellAnchor>
    <xdr:from>
      <xdr:col>12</xdr:col>
      <xdr:colOff>0</xdr:colOff>
      <xdr:row>0</xdr:row>
      <xdr:rowOff>9525</xdr:rowOff>
    </xdr:from>
    <xdr:to>
      <xdr:col>12</xdr:col>
      <xdr:colOff>11206</xdr:colOff>
      <xdr:row>77</xdr:row>
      <xdr:rowOff>145677</xdr:rowOff>
    </xdr:to>
    <xdr:cxnSp macro="">
      <xdr:nvCxnSpPr>
        <xdr:cNvPr id="9" name="Straight Connector 8">
          <a:extLst>
            <a:ext uri="{FF2B5EF4-FFF2-40B4-BE49-F238E27FC236}">
              <a16:creationId xmlns:a16="http://schemas.microsoft.com/office/drawing/2014/main" id="{00000000-0008-0000-0200-000009000000}"/>
            </a:ext>
          </a:extLst>
        </xdr:cNvPr>
        <xdr:cNvCxnSpPr/>
      </xdr:nvCxnSpPr>
      <xdr:spPr>
        <a:xfrm>
          <a:off x="7261412" y="9525"/>
          <a:ext cx="11206" cy="12473828"/>
        </a:xfrm>
        <a:prstGeom prst="line">
          <a:avLst/>
        </a:prstGeom>
        <a:ln w="6350">
          <a:solidFill>
            <a:srgbClr val="014A69"/>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19</xdr:row>
      <xdr:rowOff>133351</xdr:rowOff>
    </xdr:from>
    <xdr:to>
      <xdr:col>11</xdr:col>
      <xdr:colOff>104775</xdr:colOff>
      <xdr:row>45</xdr:row>
      <xdr:rowOff>145677</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0" y="3371851"/>
          <a:ext cx="6761069" cy="4091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200" b="1">
              <a:solidFill>
                <a:srgbClr val="014A69"/>
              </a:solidFill>
            </a:rPr>
            <a:t>Filling in the budget</a:t>
          </a:r>
        </a:p>
        <a:p>
          <a:r>
            <a:rPr lang="da-DK" sz="1000" b="1">
              <a:solidFill>
                <a:srgbClr val="014A69"/>
              </a:solidFill>
            </a:rPr>
            <a:t>First: </a:t>
          </a:r>
          <a:r>
            <a:rPr lang="da-DK" sz="1000">
              <a:solidFill>
                <a:srgbClr val="014A69"/>
              </a:solidFill>
            </a:rPr>
            <a:t>At the top of the sheet “Budget” fill in information about the project (i.e. Instrument, Project title, Applicant name and Project start and end dates).</a:t>
          </a:r>
        </a:p>
        <a:p>
          <a:r>
            <a:rPr lang="da-DK" sz="1000" b="1">
              <a:solidFill>
                <a:srgbClr val="014A69"/>
              </a:solidFill>
            </a:rPr>
            <a:t>Then </a:t>
          </a:r>
          <a:r>
            <a:rPr lang="da-DK" sz="1000" b="0">
              <a:solidFill>
                <a:srgbClr val="014A69"/>
              </a:solidFill>
            </a:rPr>
            <a:t>in the next section fill in information about the institutions/companies involved in the project, i.e. the organisation where the main applicant is employed (the administrator) and – if relevant – the places of employment for other participants. If you select one of the institutions already on the dropdown list of institution names, some of the fields will be filled out for you. Otherwise, you have to state for each entity (at least) the Institution name, the Institution type (private/public, Danish/Non Danish, etc.), the overhead percentage that the organisation is entitled to, the CVR no. (for Danish institutions), and address information. Please see the total list in the sheet and please observe that you have to use dropdown lists in several cells. </a:t>
          </a:r>
        </a:p>
        <a:p>
          <a:r>
            <a:rPr lang="da-DK" sz="1000" b="1">
              <a:solidFill>
                <a:srgbClr val="014A69"/>
              </a:solidFill>
            </a:rPr>
            <a:t>After</a:t>
          </a:r>
          <a:r>
            <a:rPr lang="da-DK" sz="1000" b="1" baseline="0">
              <a:solidFill>
                <a:srgbClr val="014A69"/>
              </a:solidFill>
            </a:rPr>
            <a:t> </a:t>
          </a:r>
          <a:r>
            <a:rPr lang="da-DK" sz="1000" b="1">
              <a:solidFill>
                <a:srgbClr val="014A69"/>
              </a:solidFill>
            </a:rPr>
            <a:t>that </a:t>
          </a:r>
          <a:r>
            <a:rPr lang="da-DK" sz="1000">
              <a:solidFill>
                <a:srgbClr val="014A69"/>
              </a:solidFill>
            </a:rPr>
            <a:t>you will be able to fill in the next sections of the sheet:</a:t>
          </a:r>
        </a:p>
        <a:p>
          <a:pPr lvl="1"/>
          <a:r>
            <a:rPr lang="da-DK" sz="1000">
              <a:solidFill>
                <a:srgbClr val="014A69"/>
              </a:solidFill>
            </a:rPr>
            <a:t>- </a:t>
          </a:r>
          <a:r>
            <a:rPr lang="da-DK" sz="1000" b="1">
              <a:solidFill>
                <a:srgbClr val="014A69"/>
              </a:solidFill>
            </a:rPr>
            <a:t>Participants:</a:t>
          </a:r>
          <a:r>
            <a:rPr lang="da-DK" sz="1000">
              <a:solidFill>
                <a:srgbClr val="014A69"/>
              </a:solidFill>
            </a:rPr>
            <a:t> This section includes budget specifications for pay and working months of the participants. Please observe that this section has to include </a:t>
          </a:r>
          <a:r>
            <a:rPr lang="da-DK" sz="1000" b="1" u="sng">
              <a:solidFill>
                <a:srgbClr val="014A69"/>
              </a:solidFill>
            </a:rPr>
            <a:t>all</a:t>
          </a:r>
          <a:r>
            <a:rPr lang="da-DK" sz="1000">
              <a:solidFill>
                <a:srgbClr val="014A69"/>
              </a:solidFill>
            </a:rPr>
            <a:t> participants in the project regardless whether they will be remunerated by DFF. </a:t>
          </a:r>
          <a:r>
            <a:rPr lang="da-DK" sz="1000" b="0">
              <a:solidFill>
                <a:srgbClr val="014A69"/>
              </a:solidFill>
            </a:rPr>
            <a:t>The reason for this is that DFF uses this list to get an overall impression of how the project is staffed. Remember to argue for each item on the list by giving a short, precise description in the column to the far right. </a:t>
          </a:r>
        </a:p>
        <a:p>
          <a:pPr lvl="1"/>
          <a:r>
            <a:rPr lang="da-DK" sz="1000">
              <a:solidFill>
                <a:srgbClr val="014A69"/>
              </a:solidFill>
            </a:rPr>
            <a:t>- </a:t>
          </a:r>
          <a:r>
            <a:rPr lang="da-DK" sz="1000" b="1">
              <a:solidFill>
                <a:srgbClr val="014A69"/>
              </a:solidFill>
            </a:rPr>
            <a:t>PhD age of postdoctoral candidates</a:t>
          </a:r>
          <a:r>
            <a:rPr lang="da-DK" sz="1000" b="0">
              <a:solidFill>
                <a:srgbClr val="014A69"/>
              </a:solidFill>
            </a:rPr>
            <a:t>:</a:t>
          </a:r>
          <a:r>
            <a:rPr lang="da-DK" sz="1000">
              <a:solidFill>
                <a:srgbClr val="014A69"/>
              </a:solidFill>
            </a:rPr>
            <a:t> In this section you have to give information about the date of PhD degree etc. for each of the involved postdocs including information about leaves of absence. Please observe that for some instruments there will be specific demands related to the PhD age.</a:t>
          </a:r>
        </a:p>
        <a:p>
          <a:pPr lvl="1"/>
          <a:r>
            <a:rPr lang="da-DK" sz="1000">
              <a:solidFill>
                <a:srgbClr val="014A69"/>
              </a:solidFill>
            </a:rPr>
            <a:t>- </a:t>
          </a:r>
          <a:r>
            <a:rPr lang="da-DK" sz="1000" b="1">
              <a:solidFill>
                <a:srgbClr val="014A69"/>
              </a:solidFill>
            </a:rPr>
            <a:t>Other expenses</a:t>
          </a:r>
          <a:r>
            <a:rPr lang="da-DK" sz="1000">
              <a:solidFill>
                <a:srgbClr val="014A69"/>
              </a:solidFill>
            </a:rPr>
            <a:t>: Here you have to state the budget for other expenses than salary. The items should be classified as either equipment or operating expenses. Remember to argue for each item on the list by giving a short, precise description in the column to the far right. </a:t>
          </a:r>
        </a:p>
        <a:p>
          <a:endParaRPr lang="da-DK" sz="1000">
            <a:solidFill>
              <a:srgbClr val="014A69"/>
            </a:solidFill>
          </a:endParaRPr>
        </a:p>
        <a:p>
          <a:r>
            <a:rPr lang="da-DK" sz="1000" b="0">
              <a:solidFill>
                <a:srgbClr val="014A69"/>
              </a:solidFill>
            </a:rPr>
            <a:t>Based on the entered information you can now - at the bottom of the sheet - find two overviews: “DFF funding divided by cost type and year” and “DFF funding divided by cost type and institutions”. Furthermore information about the participants and the expenses will be gathered from the entered information in spreadsheets “Overview – Participants” and “Overview – Expenses”. Use these overviews to check the budget before upload.</a:t>
          </a:r>
        </a:p>
        <a:p>
          <a:endParaRPr lang="da-DK" sz="1100" b="0">
            <a:solidFill>
              <a:srgbClr val="014A69"/>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1568824</xdr:colOff>
      <xdr:row>16</xdr:row>
      <xdr:rowOff>0</xdr:rowOff>
    </xdr:from>
    <xdr:to>
      <xdr:col>6</xdr:col>
      <xdr:colOff>44824</xdr:colOff>
      <xdr:row>16</xdr:row>
      <xdr:rowOff>0</xdr:rowOff>
    </xdr:to>
    <xdr:sp macro="" textlink="">
      <xdr:nvSpPr>
        <xdr:cNvPr id="2" name="Rectangle 1">
          <a:extLst>
            <a:ext uri="{FF2B5EF4-FFF2-40B4-BE49-F238E27FC236}">
              <a16:creationId xmlns:a16="http://schemas.microsoft.com/office/drawing/2014/main" id="{00000000-0008-0000-0900-000002000000}"/>
            </a:ext>
          </a:extLst>
        </xdr:cNvPr>
        <xdr:cNvSpPr/>
      </xdr:nvSpPr>
      <xdr:spPr>
        <a:xfrm>
          <a:off x="5178799" y="3000375"/>
          <a:ext cx="67722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2</xdr:col>
      <xdr:colOff>1568824</xdr:colOff>
      <xdr:row>16</xdr:row>
      <xdr:rowOff>0</xdr:rowOff>
    </xdr:from>
    <xdr:to>
      <xdr:col>6</xdr:col>
      <xdr:colOff>44824</xdr:colOff>
      <xdr:row>16</xdr:row>
      <xdr:rowOff>0</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5178799" y="3028950"/>
          <a:ext cx="48006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1568824</xdr:colOff>
      <xdr:row>16</xdr:row>
      <xdr:rowOff>0</xdr:rowOff>
    </xdr:from>
    <xdr:to>
      <xdr:col>6</xdr:col>
      <xdr:colOff>44824</xdr:colOff>
      <xdr:row>16</xdr:row>
      <xdr:rowOff>0</xdr:rowOff>
    </xdr:to>
    <xdr:sp macro="" textlink="">
      <xdr:nvSpPr>
        <xdr:cNvPr id="2" name="Rectangle 1">
          <a:extLst>
            <a:ext uri="{FF2B5EF4-FFF2-40B4-BE49-F238E27FC236}">
              <a16:creationId xmlns:a16="http://schemas.microsoft.com/office/drawing/2014/main" id="{00000000-0008-0000-0C00-000002000000}"/>
            </a:ext>
          </a:extLst>
        </xdr:cNvPr>
        <xdr:cNvSpPr/>
      </xdr:nvSpPr>
      <xdr:spPr>
        <a:xfrm>
          <a:off x="5178799" y="2619375"/>
          <a:ext cx="677227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tables/table1.xml><?xml version="1.0" encoding="utf-8"?>
<table xmlns="http://schemas.openxmlformats.org/spreadsheetml/2006/main" id="3" name="OverheadTabel" displayName="OverheadTabel" ref="E30:E34" totalsRowShown="0" headerRowDxfId="116" dataDxfId="115">
  <autoFilter ref="E30:E34"/>
  <tableColumns count="1">
    <tableColumn id="1" name="Overhead" dataDxfId="114"/>
  </tableColumns>
  <tableStyleInfo name="TableStyleMedium4" showFirstColumn="0" showLastColumn="0" showRowStripes="1" showColumnStripes="0"/>
</table>
</file>

<file path=xl/tables/table10.xml><?xml version="1.0" encoding="utf-8"?>
<table xmlns="http://schemas.openxmlformats.org/spreadsheetml/2006/main" id="17" name="OmkostningsarterTabel" displayName="OmkostningsarterTabel" ref="A11:B15" totalsRowShown="0" dataDxfId="79">
  <autoFilter ref="A11:B15"/>
  <sortState ref="A12:B15">
    <sortCondition ref="A1:A5"/>
  </sortState>
  <tableColumns count="2">
    <tableColumn id="1" name="Forskeruddannelse uden for uni. " dataDxfId="78"/>
    <tableColumn id="2" name="Kode" dataDxfId="77"/>
  </tableColumns>
  <tableStyleInfo name="TableStyleMedium2" showFirstColumn="0" showLastColumn="0" showRowStripes="1" showColumnStripes="0"/>
</table>
</file>

<file path=xl/tables/table11.xml><?xml version="1.0" encoding="utf-8"?>
<table xmlns="http://schemas.openxmlformats.org/spreadsheetml/2006/main" id="9" name="OmkostningsarterTabelIPD" displayName="OmkostningsarterTabelIPD" ref="A17:C31" totalsRowShown="0" headerRowDxfId="76" dataDxfId="75">
  <autoFilter ref="A17:C31"/>
  <sortState ref="A18:C31">
    <sortCondition ref="C1:C15"/>
  </sortState>
  <tableColumns count="3">
    <tableColumn id="1" name="International post doc.-stipendier" dataDxfId="74"/>
    <tableColumn id="2" name="Kode" dataDxfId="73"/>
    <tableColumn id="3" name="#" dataDxfId="72"/>
  </tableColumns>
  <tableStyleInfo name="TableStyleMedium2" showFirstColumn="0" showLastColumn="0" showRowStripes="1" showColumnStripes="0"/>
</table>
</file>

<file path=xl/tables/table12.xml><?xml version="1.0" encoding="utf-8"?>
<table xmlns="http://schemas.openxmlformats.org/spreadsheetml/2006/main" id="13" name="Partnere" displayName="Partnere" ref="A1:X12" totalsRowShown="0" dataDxfId="71">
  <autoFilter ref="A1:X12"/>
  <tableColumns count="24">
    <tableColumn id="23" name="Id" dataDxfId="70"/>
    <tableColumn id="25" name="Partnertype" dataDxfId="69">
      <calculatedColumnFormula>IF(INDIRECT("'Partner "&amp;Partnere[Id]&amp;"'!$B$2")="","",VLOOKUP(INDIRECT("'Partner "&amp;Partnere[Id]&amp;"'!$B$2"),#REF!,2,FALSE))</calculatedColumnFormula>
    </tableColumn>
    <tableColumn id="22" name="IsOrganisation" dataDxfId="68">
      <calculatedColumnFormula>IF(INDIRECT("'Partner "&amp;Partnere[Id]&amp;"'!$B$3")="",FALSE,VLOOKUP(INDIRECT("'Partner "&amp;Partnere[Id]&amp;"'!$B$3"),#REF!,2,FALSE))</calculatedColumnFormula>
    </tableColumn>
    <tableColumn id="24" name="SystemSagRolleEnum" dataDxfId="67">
      <calculatedColumnFormula>IF(INDIRECT("'Partner "&amp;Partnere[Id]&amp;"'!$B$4")="","",VLOOKUP(INDIRECT("'Partner "&amp;Partnere[Id]&amp;"'!$B$4"),#REF!,2,FALSE))</calculatedColumnFormula>
    </tableColumn>
    <tableColumn id="3" name="CreateSagspartOnApplication" dataDxfId="66">
      <calculatedColumnFormula>IF(INDIRECT("'Partner "&amp;Partnere[Id]&amp;"'!$B$5")="",FALSE,VLOOKUP(INDIRECT("'Partner "&amp;Partnere[Id]&amp;"'!$B$5"),#REF!,2,FALSE))</calculatedColumnFormula>
    </tableColumn>
    <tableColumn id="4" name="Navn" dataDxfId="65">
      <calculatedColumnFormula>IFERROR(IF(Budget!#REF!="", LEFT(TRIM(Budget!$C$11), 500), LEFT(TRIM(Budget!#REF!), 500)), "")</calculatedColumnFormula>
    </tableColumn>
    <tableColumn id="1" name="Afdeling" dataDxfId="64"/>
    <tableColumn id="12" name="CPRnr" dataDxfId="63"/>
    <tableColumn id="6" name="CVRnr" dataDxfId="62">
      <calculatedColumnFormula>IF(INDIRECT("'Partner "&amp;Partnere[Id]&amp;"'!$B$7")="", "", SUBSTITUTE(SUBSTITUTE(INDIRECT("'Partner "&amp;Partnere[Id]&amp;"'!$B$7"), "-", ""), " ", ""))</calculatedColumnFormula>
    </tableColumn>
    <tableColumn id="7" name="Pnr" dataDxfId="61">
      <calculatedColumnFormula>IF(INDIRECT("'Partner "&amp;Partnere[Id]&amp;"'!$B$8")="", "", SUBSTITUTE(SUBSTITUTE(INDIRECT("'Partner "&amp;Partnere[Id]&amp;"'!$B$8"), "-", ""), " ", ""))</calculatedColumnFormula>
    </tableColumn>
    <tableColumn id="15" name="VATnr" dataDxfId="60"/>
    <tableColumn id="9" name="Adresselinje1" dataDxfId="59">
      <calculatedColumnFormula>IFERROR(IF(Budget!#REF!="", LEFT(TRIM(Budget!$C$17), 500),VLOOKUP($F$2,InstitutionerTabel[],4,FALSE)),"")</calculatedColumnFormula>
    </tableColumn>
    <tableColumn id="10" name="Adresselinje2" dataDxfId="58">
      <calculatedColumnFormula>IFERROR(IF(Budget!#REF!="", LEFT(TRIM(Budget!$C$18), 500),""),"")</calculatedColumnFormula>
    </tableColumn>
    <tableColumn id="13" name="Postnr" dataDxfId="57">
      <calculatedColumnFormula>IFERROR(IF(Budget!#REF!="", LEFT(TRIM(Budget!$C$19), 500),VLOOKUP($F$2,InstitutionerTabel[],5,FALSE)),"")</calculatedColumnFormula>
    </tableColumn>
    <tableColumn id="14" name="Bynavn" dataDxfId="56">
      <calculatedColumnFormula>IFERROR(IF(Budget!#REF!="", LEFT(TRIM(Budget!$C$20), 500),VLOOKUP($F$2,InstitutionerTabel[],6,FALSE)),"")</calculatedColumnFormula>
    </tableColumn>
    <tableColumn id="8" name="Landekode" dataDxfId="55">
      <calculatedColumnFormula>IFERROR(IF(Budget!$C$21="",VLOOKUP(#REF!,#REF!,2,FALSE),VLOOKUP(Budget!$C$21,#REF!,2,FALSE)),"")</calculatedColumnFormula>
    </tableColumn>
    <tableColumn id="16" name="Email" dataDxfId="54">
      <calculatedColumnFormula>IFERROR(IF(Budget!$C$22="", "", LEFT(TRIM(Budget!$C$22), 500)), "")</calculatedColumnFormula>
    </tableColumn>
    <tableColumn id="17" name="Overheadsats" dataDxfId="53">
      <calculatedColumnFormula>IFERROR(IF(Budget!$C$14="","",IF(Budget!$C$14="0%","",Budget!$C$14)),"")</calculatedColumnFormula>
    </tableColumn>
    <tableColumn id="2" name="Organisationstype" dataDxfId="52">
      <calculatedColumnFormula>IFERROR(IF(Budget!$C$12="",VLOOKUP(#REF!,OrganisationstyperTabel[],2,FALSE),VLOOKUP(Budget!$C$12,OrganisationstyperTabel[],2,FALSE)),"")</calculatedColumnFormula>
    </tableColumn>
    <tableColumn id="18" name="Organisationsstoerrelse" dataDxfId="51"/>
    <tableColumn id="19" name="Budgetmodel" dataDxfId="50"/>
    <tableColumn id="20" name="Aktivitetstype" dataDxfId="49"/>
    <tableColumn id="21" name="Kostfaktor" dataDxfId="48"/>
    <tableColumn id="26" name="Timetakst" dataDxfId="47"/>
  </tableColumns>
  <tableStyleInfo name="TableStyleMedium2" showFirstColumn="0" showLastColumn="0" showRowStripes="1" showColumnStripes="0"/>
</table>
</file>

<file path=xl/tables/table13.xml><?xml version="1.0" encoding="utf-8"?>
<table xmlns="http://schemas.openxmlformats.org/spreadsheetml/2006/main" id="16" name="Poster" displayName="Poster" ref="A1:P412" totalsRowShown="0" headerRowDxfId="46" dataDxfId="44" headerRowBorderDxfId="45" tableBorderDxfId="43">
  <autoFilter ref="A1:P412"/>
  <tableColumns count="16">
    <tableColumn id="1" name="PartnerId" dataDxfId="42"/>
    <tableColumn id="2" name="Beloeb" dataDxfId="41">
      <calculatedColumnFormula>IF(Budget!$H26="", "", ROUND(Budget!$H26,0))</calculatedColumnFormula>
    </tableColumn>
    <tableColumn id="3" name="Finansieringstype" dataDxfId="40"/>
    <tableColumn id="4" name="OmkostningsartKode" dataDxfId="39"/>
    <tableColumn id="5" name="EnhedstypeKode" dataDxfId="38"/>
    <tableColumn id="6" name="Enhedsantal" dataDxfId="37"/>
    <tableColumn id="7" name="Enhedspris" dataDxfId="36"/>
    <tableColumn id="8" name="PeriodeStartdato" dataDxfId="35">
      <calculatedColumnFormula>IF(ProjektStart &gt;  DATE(FirstYear, 12, 31),  DATE(FirstYear, 1, 1), MAX(ProjektStart,DATE(FirstYear, 1, 1)))</calculatedColumnFormula>
    </tableColumn>
    <tableColumn id="9" name="PeriodeSlutdato" dataDxfId="34">
      <calculatedColumnFormula>IF(ProjektSlut &lt;  DATE(FirstYear, 1, 1),  DATE(FirstYear, 12, 31), MIN(ProjektSlut,DATE(FirstYear, 12, 31)))</calculatedColumnFormula>
    </tableColumn>
    <tableColumn id="10" name="Specifikation" dataDxfId="33"/>
    <tableColumn id="11" name="Arbejdspakke" dataDxfId="32"/>
    <tableColumn id="16" name="Aktivitetstypekode" dataDxfId="31"/>
    <tableColumn id="12" name="AggregeretPost" dataDxfId="30"/>
    <tableColumn id="13" name="Fornavn" dataDxfId="29"/>
    <tableColumn id="14" name="Efternavn" dataDxfId="28"/>
    <tableColumn id="15" name="Reference" dataDxfId="27"/>
  </tableColumns>
  <tableStyleInfo name="TableStyleMedium2" showFirstColumn="0" showLastColumn="0" showRowStripes="1" showColumnStripes="0"/>
</table>
</file>

<file path=xl/tables/table14.xml><?xml version="1.0" encoding="utf-8"?>
<table xmlns="http://schemas.openxmlformats.org/spreadsheetml/2006/main" id="8" name="Udbetalingsplan" displayName="Udbetalingsplan" ref="A1:G13" totalsRowShown="0" headerRowDxfId="26" dataDxfId="24" headerRowBorderDxfId="25" tableBorderDxfId="23" totalsRowBorderDxfId="22">
  <autoFilter ref="A1:G13"/>
  <tableColumns count="7">
    <tableColumn id="1" name="PartnerId" dataDxfId="21">
      <calculatedColumnFormula>IFERROR(IF(AND(AnvenderUdbetalingsplan,OverTreMillioner),1,""), "")</calculatedColumnFormula>
    </tableColumn>
    <tableColumn id="2" name="Beloeb" dataDxfId="20"/>
    <tableColumn id="3" name="Dato" dataDxfId="19"/>
    <tableColumn id="4" name="Automatisk"/>
    <tableColumn id="5" name="ErSidsteAar" dataDxfId="18">
      <calculatedColumnFormula>Udbetalingsplan[[#This Row],[Budgetår]]=YEAR(ProjektSlut)</calculatedColumnFormula>
    </tableColumn>
    <tableColumn id="6" name="Budgetår">
      <calculatedColumnFormula>FirstYear</calculatedColumnFormula>
    </tableColumn>
    <tableColumn id="7" name="Budgettal" dataDxfId="17">
      <calculatedColumnFormula>IF(Udbetalingsplan[[#This Row],[Budgetår]]&lt;&gt;"", Budget!$F$77, "")</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id="12" name="Table12" displayName="Table12" ref="A1:C12" totalsRowShown="0" headerRowDxfId="16" dataDxfId="15" tableBorderDxfId="14">
  <autoFilter ref="A1:C12"/>
  <tableColumns count="3">
    <tableColumn id="1" name="Institutions" dataDxfId="13"/>
    <tableColumn id="2" name="CVR" dataDxfId="12">
      <calculatedColumnFormula>OR(Partnere!$I2="", IFERROR(AND(LEN(Partnere!$I2)=8, VALUE(Partnere!$I2)&gt;=10000000, VALUE(Partnere!$I2)&lt;=99999999, MOD(SUMPRODUCT(MID(VALUE(Partnere!$I2),{1;2;3;4;5;6;7;8}, 1)*1,{2;7;6;5;4;3;2;1}), 11)=0), FALSE))</calculatedColumnFormula>
    </tableColumn>
    <tableColumn id="3" name="P" dataDxfId="11">
      <calculatedColumnFormula>IFERROR(OR(PnrA="", IFERROR(AND(LEN(PnrA)=10, VALUE(PnrA)&gt;=1000000000, VALUE(PnrA)&lt;=9999999999, MOD(SUMPRODUCT(MID(VALUE(PnrA),{1;2;3;4;5;6;7;8;9;10}, 1)*1,IF(VALUE(PnrA)&gt;1006959421,{4;3;2;7;6;5;4;3;2;1},{1;5;6;7;3;6;4;8;9;1})), 11)=0), FALSE)),"")</calculatedColumnFormula>
    </tableColumn>
  </tableColumns>
  <tableStyleInfo name="TableStyleMedium4" showFirstColumn="0" showLastColumn="0" showRowStripes="1" showColumnStripes="0"/>
</table>
</file>

<file path=xl/tables/table16.xml><?xml version="1.0" encoding="utf-8"?>
<table xmlns="http://schemas.openxmlformats.org/spreadsheetml/2006/main" id="1" name="Versionering" displayName="Versionering" ref="A1:B2" totalsRowShown="0" headerRowDxfId="10" dataDxfId="9">
  <autoFilter ref="A1:B2"/>
  <tableColumns count="2">
    <tableColumn id="1" name="Navn" dataDxfId="8"/>
    <tableColumn id="2" name="Version" dataDxfId="7"/>
  </tableColumns>
  <tableStyleInfo name="TableStyleLight12" showFirstColumn="0" showLastColumn="0" showRowStripes="1" showColumnStripes="0"/>
</table>
</file>

<file path=xl/tables/table2.xml><?xml version="1.0" encoding="utf-8"?>
<table xmlns="http://schemas.openxmlformats.org/spreadsheetml/2006/main" id="4" name="OrganisationstyperTabel" displayName="OrganisationstyperTabel" ref="E13:G28" totalsRowShown="0" dataDxfId="113">
  <autoFilter ref="E13:G28"/>
  <sortState ref="E14:F29">
    <sortCondition ref="F1:F17"/>
  </sortState>
  <tableColumns count="3">
    <tableColumn id="1" name="Organisationstype" dataDxfId="112"/>
    <tableColumn id="2" name="Kode" dataDxfId="111"/>
    <tableColumn id="3" name="Udbetalingsplan" dataDxfId="110"/>
  </tableColumns>
  <tableStyleInfo name="TableStyleMedium3" showFirstColumn="0" showLastColumn="0" showRowStripes="1" showColumnStripes="0"/>
</table>
</file>

<file path=xl/tables/table3.xml><?xml version="1.0" encoding="utf-8"?>
<table xmlns="http://schemas.openxmlformats.org/spreadsheetml/2006/main" id="7" name="InstrumentTabel" displayName="InstrumentTabel" ref="E8:E10" totalsRowShown="0" headerRowDxfId="109" headerRowBorderDxfId="108" tableBorderDxfId="107" totalsRowBorderDxfId="106">
  <autoFilter ref="E8:E10"/>
  <tableColumns count="1">
    <tableColumn id="1" name="Instrument"/>
  </tableColumns>
  <tableStyleInfo name="TableStyleLight8" showFirstColumn="0" showLastColumn="0" showRowStripes="1" showColumnStripes="0"/>
</table>
</file>

<file path=xl/tables/table4.xml><?xml version="1.0" encoding="utf-8"?>
<table xmlns="http://schemas.openxmlformats.org/spreadsheetml/2006/main" id="10" name="ParticipatingTabel" displayName="ParticipatingTabel" ref="F30:F41" totalsRowShown="0" headerRowDxfId="105" dataDxfId="104">
  <autoFilter ref="F30:F41"/>
  <tableColumns count="1">
    <tableColumn id="1" name="Participating" dataDxfId="103"/>
  </tableColumns>
  <tableStyleInfo name="TableStyleMedium5" showFirstColumn="0" showLastColumn="0" showRowStripes="1" showColumnStripes="0"/>
</table>
</file>

<file path=xl/tables/table5.xml><?xml version="1.0" encoding="utf-8"?>
<table xmlns="http://schemas.openxmlformats.org/spreadsheetml/2006/main" id="14" name="OmkostningsParticipantsTabel" displayName="OmkostningsParticipantsTabel" ref="A1:B5" totalsRowShown="0" headerRowDxfId="102" dataDxfId="101">
  <autoFilter ref="A1:B5"/>
  <sortState ref="A2:B5">
    <sortCondition descending="1" ref="A1:A5"/>
  </sortState>
  <tableColumns count="2">
    <tableColumn id="1" name="Omkostningsart - Participant" dataDxfId="100"/>
    <tableColumn id="2" name="Kode" dataDxfId="99"/>
  </tableColumns>
  <tableStyleInfo name="TableStyleMedium2" showFirstColumn="0" showLastColumn="0" showRowStripes="1" showColumnStripes="0"/>
</table>
</file>

<file path=xl/tables/table6.xml><?xml version="1.0" encoding="utf-8"?>
<table xmlns="http://schemas.openxmlformats.org/spreadsheetml/2006/main" id="15" name="OmkostningsExpenseTabel" displayName="OmkostningsExpenseTabel" ref="A7:B9" totalsRowShown="0" dataDxfId="98">
  <autoFilter ref="A7:B9"/>
  <tableColumns count="2">
    <tableColumn id="1" name="Omkostningsart - Expense" dataDxfId="97"/>
    <tableColumn id="2" name="Kode" dataDxfId="96"/>
  </tableColumns>
  <tableStyleInfo name="TableStyleMedium2" showFirstColumn="0" showLastColumn="0" showRowStripes="1" showColumnStripes="0"/>
</table>
</file>

<file path=xl/tables/table7.xml><?xml version="1.0" encoding="utf-8"?>
<table xmlns="http://schemas.openxmlformats.org/spreadsheetml/2006/main" id="2" name="AnsøgningsTabel" displayName="AnsøgningsTabel" ref="E1:F6" totalsRowShown="0" headerRowDxfId="95" dataDxfId="94">
  <autoFilter ref="E1:F6"/>
  <sortState ref="E2:F6">
    <sortCondition ref="E41:E46"/>
  </sortState>
  <tableColumns count="2">
    <tableColumn id="1" name="Fagråd" dataDxfId="93"/>
    <tableColumn id="2" name="Ansøgningsfrist - Dato" dataDxfId="92"/>
  </tableColumns>
  <tableStyleInfo name="TableStyleMedium2" showFirstColumn="0" showLastColumn="0" showRowStripes="1" showColumnStripes="0"/>
</table>
</file>

<file path=xl/tables/table8.xml><?xml version="1.0" encoding="utf-8"?>
<table xmlns="http://schemas.openxmlformats.org/spreadsheetml/2006/main" id="6" name="LandeTabel" displayName="LandeTabel" ref="T1:U257" totalsRowShown="0" headerRowDxfId="91" headerRowCellStyle="Normal 4" dataCellStyle="Normal 4">
  <autoFilter ref="T1:U257"/>
  <sortState ref="T2:U257">
    <sortCondition ref="T1:T257"/>
  </sortState>
  <tableColumns count="2">
    <tableColumn id="3" name="LandUK" dataCellStyle="Normal 4"/>
    <tableColumn id="2" name="Kode" dataCellStyle="Normal 4"/>
  </tableColumns>
  <tableStyleInfo name="TableStyleMedium5" showFirstColumn="0" showLastColumn="0" showRowStripes="1" showColumnStripes="0"/>
</table>
</file>

<file path=xl/tables/table9.xml><?xml version="1.0" encoding="utf-8"?>
<table xmlns="http://schemas.openxmlformats.org/spreadsheetml/2006/main" id="5" name="InstitutionerTabel" displayName="InstitutionerTabel" ref="I1:R23" totalsRowShown="0" dataDxfId="90">
  <autoFilter ref="I1:R23"/>
  <sortState ref="I2:R23">
    <sortCondition ref="R2:R23" customList="Danish: University,Danish: Public hospital (incl. university hospital)"/>
    <sortCondition ref="I2:I23"/>
  </sortState>
  <tableColumns count="10">
    <tableColumn id="1" name="Institution" dataDxfId="89"/>
    <tableColumn id="2" name="CVR" dataDxfId="88"/>
    <tableColumn id="3" name="P" dataDxfId="87"/>
    <tableColumn id="4" name="Adresse" dataDxfId="86"/>
    <tableColumn id="5" name="Postnr" dataDxfId="85"/>
    <tableColumn id="6" name="By" dataDxfId="84"/>
    <tableColumn id="7" name="Land" dataDxfId="83"/>
    <tableColumn id="8" name="Email" dataDxfId="82"/>
    <tableColumn id="11" name="Overhead" dataDxfId="81"/>
    <tableColumn id="9" name="Type" dataDxfId="80"/>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atacvr.virk.dk/data/?language=en-gb&amp;" TargetMode="External"/><Relationship Id="rId1" Type="http://schemas.openxmlformats.org/officeDocument/2006/relationships/hyperlink" Target="https://datacvr.virk.dk/data/?language=en-gb&am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14A69"/>
    <pageSetUpPr fitToPage="1"/>
  </sheetPr>
  <dimension ref="A1:AL186"/>
  <sheetViews>
    <sheetView showGridLines="0" tabSelected="1" topLeftCell="A10" zoomScale="85" zoomScaleNormal="85" workbookViewId="0">
      <selection activeCell="C3" sqref="C3:H3"/>
    </sheetView>
  </sheetViews>
  <sheetFormatPr defaultColWidth="9.140625" defaultRowHeight="12.75" x14ac:dyDescent="0.2"/>
  <cols>
    <col min="1" max="1" width="27.140625" style="154" customWidth="1"/>
    <col min="2" max="2" width="18.85546875" style="154" customWidth="1"/>
    <col min="3" max="3" width="19.42578125" style="154" customWidth="1"/>
    <col min="4" max="4" width="15.7109375" style="154" customWidth="1"/>
    <col min="5" max="13" width="11.7109375" style="154" customWidth="1"/>
    <col min="14" max="14" width="12.140625" style="154" customWidth="1"/>
    <col min="15" max="24" width="11.7109375" style="154" customWidth="1"/>
    <col min="25" max="25" width="11.85546875" style="154" customWidth="1"/>
    <col min="26" max="28" width="10.7109375" style="154" customWidth="1"/>
    <col min="29" max="34" width="11.85546875" style="154" customWidth="1"/>
    <col min="35" max="35" width="9.140625" style="154"/>
    <col min="36" max="36" width="5.42578125" style="154" hidden="1" customWidth="1"/>
    <col min="37" max="37" width="9.140625" style="154"/>
    <col min="38" max="38" width="1.28515625" style="154" customWidth="1"/>
    <col min="39" max="16384" width="9.140625" style="154"/>
  </cols>
  <sheetData>
    <row r="1" spans="1:24" ht="31.5" customHeight="1" x14ac:dyDescent="0.2">
      <c r="A1" s="463" t="s">
        <v>805</v>
      </c>
      <c r="B1" s="463"/>
      <c r="C1" s="463"/>
      <c r="D1" s="463"/>
      <c r="E1" s="463"/>
      <c r="F1" s="463"/>
      <c r="G1" s="463"/>
      <c r="H1" s="463"/>
    </row>
    <row r="2" spans="1:24" ht="21" customHeight="1" x14ac:dyDescent="0.2">
      <c r="A2" s="464" t="s">
        <v>806</v>
      </c>
      <c r="B2" s="465"/>
      <c r="C2" s="465"/>
      <c r="D2" s="465"/>
      <c r="E2" s="465"/>
      <c r="F2" s="465"/>
      <c r="G2" s="465"/>
      <c r="H2" s="465"/>
    </row>
    <row r="3" spans="1:24" ht="27" customHeight="1" x14ac:dyDescent="0.2">
      <c r="A3" s="439" t="s">
        <v>810</v>
      </c>
      <c r="B3" s="439"/>
      <c r="C3" s="442"/>
      <c r="D3" s="443"/>
      <c r="E3" s="443"/>
      <c r="F3" s="443"/>
      <c r="G3" s="443"/>
      <c r="H3" s="444"/>
      <c r="I3" s="146"/>
      <c r="J3" s="146"/>
      <c r="K3" s="146"/>
      <c r="L3" s="146"/>
      <c r="M3" s="146"/>
      <c r="N3" s="146"/>
      <c r="O3" s="146"/>
      <c r="P3" s="146"/>
      <c r="Q3" s="146"/>
      <c r="R3" s="146"/>
      <c r="S3" s="146"/>
      <c r="T3" s="146"/>
      <c r="U3" s="146"/>
      <c r="V3" s="146"/>
      <c r="W3" s="146"/>
      <c r="X3" s="146"/>
    </row>
    <row r="4" spans="1:24" ht="39.950000000000003" customHeight="1" x14ac:dyDescent="0.2">
      <c r="A4" s="440" t="s">
        <v>769</v>
      </c>
      <c r="B4" s="440"/>
      <c r="C4" s="436"/>
      <c r="D4" s="437"/>
      <c r="E4" s="437"/>
      <c r="F4" s="437"/>
      <c r="G4" s="437"/>
      <c r="H4" s="438"/>
      <c r="J4" s="405" t="s">
        <v>858</v>
      </c>
      <c r="L4" s="146"/>
      <c r="M4" s="146"/>
      <c r="N4" s="146"/>
      <c r="O4" s="146"/>
      <c r="P4" s="146"/>
      <c r="Q4" s="146"/>
      <c r="R4" s="146"/>
      <c r="S4" s="146"/>
      <c r="T4" s="146"/>
      <c r="U4" s="146"/>
      <c r="V4" s="146"/>
      <c r="W4" s="146"/>
      <c r="X4" s="146"/>
    </row>
    <row r="5" spans="1:24" ht="27.75" customHeight="1" x14ac:dyDescent="0.2">
      <c r="A5" s="440" t="s">
        <v>770</v>
      </c>
      <c r="B5" s="440"/>
      <c r="C5" s="238" t="s">
        <v>778</v>
      </c>
      <c r="D5" s="79"/>
      <c r="E5" s="238" t="s">
        <v>779</v>
      </c>
      <c r="F5" s="436"/>
      <c r="G5" s="437"/>
      <c r="H5" s="438"/>
      <c r="I5" s="146"/>
      <c r="J5" s="405" t="s">
        <v>859</v>
      </c>
      <c r="L5" s="146"/>
      <c r="M5" s="146"/>
      <c r="N5" s="146"/>
      <c r="O5" s="146"/>
      <c r="P5" s="146"/>
      <c r="Q5" s="146"/>
      <c r="R5" s="146"/>
      <c r="S5" s="146"/>
      <c r="T5" s="146"/>
      <c r="U5" s="146"/>
      <c r="V5" s="146"/>
      <c r="W5" s="146"/>
      <c r="X5" s="146"/>
    </row>
    <row r="6" spans="1:24" ht="18" customHeight="1" x14ac:dyDescent="0.2">
      <c r="A6" s="441" t="s">
        <v>771</v>
      </c>
      <c r="B6" s="441"/>
      <c r="C6" s="251"/>
      <c r="D6" s="237" t="s">
        <v>862</v>
      </c>
      <c r="E6" s="147"/>
      <c r="F6" s="147"/>
      <c r="G6" s="147"/>
      <c r="H6" s="230"/>
      <c r="I6" s="146"/>
      <c r="J6" s="146"/>
      <c r="K6" s="146"/>
      <c r="L6" s="146"/>
      <c r="M6" s="146"/>
      <c r="N6" s="146"/>
      <c r="O6" s="146"/>
      <c r="P6" s="146"/>
      <c r="Q6" s="146"/>
      <c r="R6" s="146"/>
      <c r="S6" s="146"/>
      <c r="T6" s="146"/>
      <c r="U6" s="146"/>
      <c r="V6" s="146"/>
      <c r="W6" s="146"/>
      <c r="X6" s="146"/>
    </row>
    <row r="7" spans="1:24" ht="18" customHeight="1" x14ac:dyDescent="0.2">
      <c r="A7" s="441" t="s">
        <v>772</v>
      </c>
      <c r="B7" s="441"/>
      <c r="C7" s="251"/>
      <c r="D7" s="237"/>
      <c r="E7" s="147"/>
      <c r="F7" s="148"/>
      <c r="G7" s="147"/>
      <c r="H7" s="147"/>
      <c r="I7" s="146"/>
      <c r="J7" s="146"/>
      <c r="K7" s="146"/>
      <c r="L7" s="146"/>
      <c r="M7" s="146"/>
      <c r="N7" s="146"/>
      <c r="O7" s="146"/>
      <c r="P7" s="146"/>
      <c r="Q7" s="146"/>
      <c r="R7" s="146"/>
      <c r="S7" s="146"/>
      <c r="T7" s="146"/>
      <c r="U7" s="146"/>
      <c r="V7" s="146"/>
      <c r="W7" s="146"/>
      <c r="X7" s="146"/>
    </row>
    <row r="8" spans="1:24" ht="18" customHeight="1" x14ac:dyDescent="0.2">
      <c r="A8" s="441" t="s">
        <v>819</v>
      </c>
      <c r="B8" s="441"/>
      <c r="C8" s="426" t="str">
        <f>IF(OR(ProjektStart=0,ProjektSlut=0,ProjektSlut&lt;=ProjektStart),"",IF(DATEDIF(ProjektStart,ProjektSlut+15,"M")=0,1,IF(OR(ProjektStart=0,ProjektSlut=0,ProjektSlut&lt;=ProjektStart),"",DATEDIF(ProjektStart,ProjektSlut+15,"M"))))</f>
        <v/>
      </c>
      <c r="D8" s="237" t="s">
        <v>811</v>
      </c>
      <c r="E8" s="149"/>
      <c r="F8" s="147"/>
      <c r="G8" s="147"/>
      <c r="H8" s="150"/>
      <c r="I8" s="145"/>
      <c r="J8" s="146"/>
      <c r="K8" s="151"/>
      <c r="L8" s="146"/>
      <c r="M8" s="146"/>
      <c r="N8" s="146"/>
      <c r="O8" s="146"/>
      <c r="P8" s="146"/>
      <c r="Q8" s="146"/>
      <c r="R8" s="146"/>
      <c r="S8" s="146"/>
      <c r="T8" s="146"/>
      <c r="U8" s="146"/>
      <c r="V8" s="146"/>
      <c r="W8" s="146"/>
      <c r="X8" s="146"/>
    </row>
    <row r="9" spans="1:24" ht="136.5" customHeight="1" x14ac:dyDescent="0.2">
      <c r="A9" s="434" t="s">
        <v>832</v>
      </c>
      <c r="B9" s="435"/>
      <c r="C9" s="435"/>
      <c r="D9" s="435"/>
      <c r="E9" s="146"/>
      <c r="F9" s="146"/>
      <c r="G9" s="146"/>
      <c r="H9" s="146"/>
      <c r="I9" s="146"/>
      <c r="J9" s="146"/>
      <c r="K9" s="146"/>
      <c r="L9" s="146"/>
      <c r="M9" s="146"/>
      <c r="N9" s="146"/>
      <c r="O9" s="146"/>
      <c r="P9" s="146"/>
      <c r="Q9" s="146"/>
      <c r="R9" s="146"/>
      <c r="S9" s="146"/>
      <c r="T9" s="146"/>
      <c r="U9" s="146"/>
      <c r="V9" s="146"/>
      <c r="W9" s="146"/>
      <c r="X9" s="146"/>
    </row>
    <row r="10" spans="1:24" x14ac:dyDescent="0.2">
      <c r="A10" s="152"/>
      <c r="B10" s="153"/>
      <c r="C10" s="445" t="s">
        <v>1</v>
      </c>
      <c r="D10" s="445"/>
      <c r="E10" s="445" t="s">
        <v>10</v>
      </c>
      <c r="F10" s="445"/>
      <c r="G10" s="445" t="s">
        <v>11</v>
      </c>
      <c r="H10" s="445"/>
      <c r="I10" s="445" t="s">
        <v>631</v>
      </c>
      <c r="J10" s="445"/>
      <c r="K10" s="445" t="s">
        <v>632</v>
      </c>
      <c r="L10" s="445"/>
      <c r="M10" s="445" t="s">
        <v>633</v>
      </c>
      <c r="N10" s="445"/>
      <c r="O10" s="445" t="s">
        <v>634</v>
      </c>
      <c r="P10" s="445"/>
      <c r="Q10" s="445" t="s">
        <v>635</v>
      </c>
      <c r="R10" s="445"/>
      <c r="S10" s="445" t="s">
        <v>636</v>
      </c>
      <c r="T10" s="445"/>
      <c r="U10" s="445" t="s">
        <v>637</v>
      </c>
      <c r="V10" s="445"/>
      <c r="W10" s="445" t="s">
        <v>740</v>
      </c>
      <c r="X10" s="445"/>
    </row>
    <row r="11" spans="1:24" s="146" customFormat="1" ht="42" customHeight="1" x14ac:dyDescent="0.25">
      <c r="A11" s="439" t="s">
        <v>838</v>
      </c>
      <c r="B11" s="439"/>
      <c r="C11" s="460"/>
      <c r="D11" s="460"/>
      <c r="E11" s="460"/>
      <c r="F11" s="460"/>
      <c r="G11" s="460"/>
      <c r="H11" s="460"/>
      <c r="I11" s="460"/>
      <c r="J11" s="460"/>
      <c r="K11" s="460"/>
      <c r="L11" s="460"/>
      <c r="M11" s="460"/>
      <c r="N11" s="460"/>
      <c r="O11" s="460"/>
      <c r="P11" s="460"/>
      <c r="Q11" s="460"/>
      <c r="R11" s="460"/>
      <c r="S11" s="460"/>
      <c r="T11" s="460"/>
      <c r="U11" s="460"/>
      <c r="V11" s="460"/>
      <c r="W11" s="460"/>
      <c r="X11" s="460"/>
    </row>
    <row r="12" spans="1:24" ht="63.75" customHeight="1" x14ac:dyDescent="0.2">
      <c r="A12" s="439" t="s">
        <v>773</v>
      </c>
      <c r="B12" s="439"/>
      <c r="C12" s="458" t="str">
        <f>IF(IFERROR(VLOOKUP($C$11, InstitutionerTabel[], 10, FALSE), "")="", "", IFERROR(VLOOKUP($C$11, InstitutionerTabel[],10, FALSE), ""))</f>
        <v/>
      </c>
      <c r="D12" s="458"/>
      <c r="E12" s="458" t="str">
        <f>IF(IFERROR(VLOOKUP($E$11, InstitutionerTabel[], 10, FALSE), "")="", "", IFERROR(VLOOKUP($E$11, InstitutionerTabel[],10, FALSE), ""))</f>
        <v/>
      </c>
      <c r="F12" s="458"/>
      <c r="G12" s="458" t="str">
        <f>IF(IFERROR(VLOOKUP($G$11, InstitutionerTabel[], 10, FALSE), "")="", "", IFERROR(VLOOKUP($G$11, InstitutionerTabel[],10, FALSE), ""))</f>
        <v/>
      </c>
      <c r="H12" s="458"/>
      <c r="I12" s="458" t="str">
        <f>IF(IFERROR(VLOOKUP($I$11, InstitutionerTabel[], 10, FALSE), "")="", "", IFERROR(VLOOKUP($I$11, InstitutionerTabel[],10, FALSE), ""))</f>
        <v/>
      </c>
      <c r="J12" s="458"/>
      <c r="K12" s="458" t="str">
        <f>IF(IFERROR(VLOOKUP($K$11, InstitutionerTabel[], 10, FALSE), "")="", "", IFERROR(VLOOKUP($K$11, InstitutionerTabel[],10, FALSE), ""))</f>
        <v/>
      </c>
      <c r="L12" s="458"/>
      <c r="M12" s="458" t="str">
        <f>IF(IFERROR(VLOOKUP($M$11, InstitutionerTabel[], 10, FALSE), "")="", "", IFERROR(VLOOKUP($M$11, InstitutionerTabel[],10, FALSE), ""))</f>
        <v/>
      </c>
      <c r="N12" s="458"/>
      <c r="O12" s="458" t="str">
        <f>IF(IFERROR(VLOOKUP($O$11, InstitutionerTabel[], 10, FALSE), "")="", "", IFERROR(VLOOKUP($O$11, InstitutionerTabel[],10, FALSE), ""))</f>
        <v/>
      </c>
      <c r="P12" s="458"/>
      <c r="Q12" s="458" t="str">
        <f>IF(IFERROR(VLOOKUP($Q$11, InstitutionerTabel[], 10, FALSE), "")="", "", IFERROR(VLOOKUP($Q$11, InstitutionerTabel[],10, FALSE), ""))</f>
        <v/>
      </c>
      <c r="R12" s="458"/>
      <c r="S12" s="458" t="str">
        <f>IF(IFERROR(VLOOKUP($S$11, InstitutionerTabel[], 10, FALSE), "")="", "", IFERROR(VLOOKUP($S$11, InstitutionerTabel[],10, FALSE), ""))</f>
        <v/>
      </c>
      <c r="T12" s="458"/>
      <c r="U12" s="458" t="str">
        <f>IF(IFERROR(VLOOKUP($U$11, InstitutionerTabel[], 10, FALSE), "")="", "", IFERROR(VLOOKUP($U$11, InstitutionerTabel[],10, FALSE), ""))</f>
        <v/>
      </c>
      <c r="V12" s="458"/>
      <c r="W12" s="458" t="str">
        <f>IF(IFERROR(VLOOKUP($W$11, InstitutionerTabel[], 10, FALSE), "")="", "", IFERROR(VLOOKUP($W$11, InstitutionerTabel[],10, FALSE), ""))</f>
        <v/>
      </c>
      <c r="X12" s="458"/>
    </row>
    <row r="13" spans="1:24" ht="42" customHeight="1" x14ac:dyDescent="0.2">
      <c r="A13" s="439" t="s">
        <v>812</v>
      </c>
      <c r="B13" s="439"/>
      <c r="C13" s="460"/>
      <c r="D13" s="460"/>
      <c r="E13" s="460"/>
      <c r="F13" s="460"/>
      <c r="G13" s="460"/>
      <c r="H13" s="460"/>
      <c r="I13" s="460"/>
      <c r="J13" s="460"/>
      <c r="K13" s="460"/>
      <c r="L13" s="460"/>
      <c r="M13" s="460"/>
      <c r="N13" s="460"/>
      <c r="O13" s="460"/>
      <c r="P13" s="460"/>
      <c r="Q13" s="460"/>
      <c r="R13" s="460"/>
      <c r="S13" s="460"/>
      <c r="T13" s="460"/>
      <c r="U13" s="460"/>
      <c r="V13" s="460"/>
      <c r="W13" s="460"/>
      <c r="X13" s="460"/>
    </row>
    <row r="14" spans="1:24" ht="29.25" customHeight="1" x14ac:dyDescent="0.2">
      <c r="A14" s="439" t="s">
        <v>774</v>
      </c>
      <c r="B14" s="439"/>
      <c r="C14" s="461" t="str">
        <f>IF(IFERROR(VLOOKUP($C$11, InstitutionerTabel[], 9, FALSE), "")="", "", IFERROR(VLOOKUP($C$11, InstitutionerTabel[], 9, FALSE), ""))</f>
        <v/>
      </c>
      <c r="D14" s="461"/>
      <c r="E14" s="461" t="str">
        <f>IF(IFERROR(VLOOKUP($E$11, InstitutionerTabel[], 9, FALSE), "")="", "", IFERROR(VLOOKUP($E$11, InstitutionerTabel[], 9, FALSE), ""))</f>
        <v/>
      </c>
      <c r="F14" s="461"/>
      <c r="G14" s="461" t="str">
        <f>IF(IFERROR(VLOOKUP($G$11, InstitutionerTabel[], 9, FALSE), "")="", "", IFERROR(VLOOKUP($G$11, InstitutionerTabel[], 9, FALSE), ""))</f>
        <v/>
      </c>
      <c r="H14" s="461"/>
      <c r="I14" s="461" t="str">
        <f>IF(IFERROR(VLOOKUP($I$11, InstitutionerTabel[], 9, FALSE), "")="", "", IFERROR(VLOOKUP($I$11, InstitutionerTabel[], 9, FALSE), ""))</f>
        <v/>
      </c>
      <c r="J14" s="461"/>
      <c r="K14" s="461" t="str">
        <f>IF(IFERROR(VLOOKUP($K$11, InstitutionerTabel[], 9, FALSE), "")="", "", IFERROR(VLOOKUP($K$11, InstitutionerTabel[], 9, FALSE), ""))</f>
        <v/>
      </c>
      <c r="L14" s="461"/>
      <c r="M14" s="461" t="str">
        <f>IF(IFERROR(VLOOKUP($M$11, InstitutionerTabel[], 9, FALSE), "")="", "", IFERROR(VLOOKUP($M$11, InstitutionerTabel[], 9, FALSE), ""))</f>
        <v/>
      </c>
      <c r="N14" s="461"/>
      <c r="O14" s="461" t="str">
        <f>IF(IFERROR(VLOOKUP($O$11, InstitutionerTabel[], 9, FALSE), "")="", "", IFERROR(VLOOKUP($O$11, InstitutionerTabel[], 9, FALSE), ""))</f>
        <v/>
      </c>
      <c r="P14" s="461"/>
      <c r="Q14" s="461" t="str">
        <f>IF(IFERROR(VLOOKUP($Q$11, InstitutionerTabel[], 9, FALSE), "")="", "", IFERROR(VLOOKUP($Q$11, InstitutionerTabel[], 9, FALSE), ""))</f>
        <v/>
      </c>
      <c r="R14" s="461"/>
      <c r="S14" s="461" t="str">
        <f>IF(IFERROR(VLOOKUP($S$11, InstitutionerTabel[], 9, FALSE), "")="", "", IFERROR(VLOOKUP($S$11, InstitutionerTabel[], 9, FALSE), ""))</f>
        <v/>
      </c>
      <c r="T14" s="461"/>
      <c r="U14" s="461" t="str">
        <f>IF(IFERROR(VLOOKUP($U$11, InstitutionerTabel[], 9, FALSE), "")="", "", IFERROR(VLOOKUP($U$11, InstitutionerTabel[], 9, FALSE), ""))</f>
        <v/>
      </c>
      <c r="V14" s="461"/>
      <c r="W14" s="461" t="str">
        <f>IF(IFERROR(VLOOKUP($W$11, InstitutionerTabel[], 9, FALSE), "")="", "", IFERROR(VLOOKUP($W$11, InstitutionerTabel[], 9, FALSE), ""))</f>
        <v/>
      </c>
      <c r="X14" s="461"/>
    </row>
    <row r="15" spans="1:24" ht="28.5" customHeight="1" x14ac:dyDescent="0.2">
      <c r="A15" s="462" t="s">
        <v>839</v>
      </c>
      <c r="B15" s="462"/>
      <c r="C15" s="458" t="str">
        <f>IF(IFERROR(VLOOKUP($C$11, InstitutionerTabel[], 2, FALSE), "")="", "", IFERROR(VLOOKUP($C$11, InstitutionerTabel[], 2, FALSE), ""))</f>
        <v/>
      </c>
      <c r="D15" s="458"/>
      <c r="E15" s="458" t="str">
        <f>IF(IFERROR(VLOOKUP($E$11, InstitutionerTabel[], 2, FALSE), "")="", "", IFERROR(VLOOKUP($E$11, InstitutionerTabel[], 2, FALSE), ""))</f>
        <v/>
      </c>
      <c r="F15" s="458"/>
      <c r="G15" s="458" t="str">
        <f>IF(IFERROR(VLOOKUP($G$11, InstitutionerTabel[], 2, FALSE), "")="", "", IFERROR(VLOOKUP($G$11, InstitutionerTabel[], 2, FALSE), ""))</f>
        <v/>
      </c>
      <c r="H15" s="458"/>
      <c r="I15" s="458" t="str">
        <f>IF(IFERROR(VLOOKUP($I$11, InstitutionerTabel[], 2, FALSE), "")="", "", IFERROR(VLOOKUP($I$11, InstitutionerTabel[], 2, FALSE), ""))</f>
        <v/>
      </c>
      <c r="J15" s="458"/>
      <c r="K15" s="458" t="str">
        <f>IF(IFERROR(VLOOKUP($K$11, InstitutionerTabel[], 2, FALSE), "")="", "", IFERROR(VLOOKUP($K$11, InstitutionerTabel[], 2, FALSE), ""))</f>
        <v/>
      </c>
      <c r="L15" s="458"/>
      <c r="M15" s="458" t="str">
        <f>IF(IFERROR(VLOOKUP($M$11, InstitutionerTabel[], 2, FALSE), "")="", "", IFERROR(VLOOKUP($M$11, InstitutionerTabel[], 2, FALSE), ""))</f>
        <v/>
      </c>
      <c r="N15" s="458"/>
      <c r="O15" s="458" t="str">
        <f>IF(IFERROR(VLOOKUP($O$11, InstitutionerTabel[], 2, FALSE), "")="", "", IFERROR(VLOOKUP($O$11, InstitutionerTabel[], 2, FALSE), ""))</f>
        <v/>
      </c>
      <c r="P15" s="458"/>
      <c r="Q15" s="458" t="str">
        <f>IF(IFERROR(VLOOKUP($Q$11, InstitutionerTabel[], 2, FALSE), "")="", "", IFERROR(VLOOKUP($Q$11, InstitutionerTabel[], 2, FALSE), ""))</f>
        <v/>
      </c>
      <c r="R15" s="458"/>
      <c r="S15" s="458" t="str">
        <f>IF(IFERROR(VLOOKUP($S$11, InstitutionerTabel[], 2, FALSE), "")="", "", IFERROR(VLOOKUP($S$11, InstitutionerTabel[], 2, FALSE), ""))</f>
        <v/>
      </c>
      <c r="T15" s="458"/>
      <c r="U15" s="458" t="str">
        <f>IF(IFERROR(VLOOKUP($U$11, InstitutionerTabel[], 2, FALSE), "")="", "", IFERROR(VLOOKUP($U$11, InstitutionerTabel[], 2, FALSE), ""))</f>
        <v/>
      </c>
      <c r="V15" s="458"/>
      <c r="W15" s="458" t="str">
        <f>IF(IFERROR(VLOOKUP($W$11, InstitutionerTabel[], 2, FALSE), "")="", "", IFERROR(VLOOKUP($W$11, InstitutionerTabel[], 2, FALSE), ""))</f>
        <v/>
      </c>
      <c r="X15" s="458"/>
    </row>
    <row r="16" spans="1:24" ht="27.75" customHeight="1" x14ac:dyDescent="0.2">
      <c r="A16" s="462" t="s">
        <v>741</v>
      </c>
      <c r="B16" s="462"/>
      <c r="C16" s="458" t="str">
        <f>IF(IFERROR(VLOOKUP($C$11, InstitutionerTabel[], 3, FALSE), "")="", "", IFERROR(VLOOKUP($C$11, InstitutionerTabel[], 3, FALSE), ""))</f>
        <v/>
      </c>
      <c r="D16" s="458"/>
      <c r="E16" s="458" t="str">
        <f>IF(IFERROR(VLOOKUP($E$11, InstitutionerTabel[], 3, FALSE), "")="", "", IFERROR(VLOOKUP($E$11, InstitutionerTabel[], 3, FALSE), ""))</f>
        <v/>
      </c>
      <c r="F16" s="458"/>
      <c r="G16" s="458" t="str">
        <f>IF(IFERROR(VLOOKUP($G$11, InstitutionerTabel[], 3, FALSE), "")="", "", IFERROR(VLOOKUP($G$11, InstitutionerTabel[], 3, FALSE), ""))</f>
        <v/>
      </c>
      <c r="H16" s="458"/>
      <c r="I16" s="458" t="str">
        <f>IF(IFERROR(VLOOKUP($I$11, InstitutionerTabel[], 3, FALSE), "")="", "", IFERROR(VLOOKUP($I$11, InstitutionerTabel[], 3, FALSE), ""))</f>
        <v/>
      </c>
      <c r="J16" s="458"/>
      <c r="K16" s="458" t="str">
        <f>IF(IFERROR(VLOOKUP($K$11, InstitutionerTabel[], 3, FALSE), "")="", "", IFERROR(VLOOKUP($K$11, InstitutionerTabel[], 3, FALSE), ""))</f>
        <v/>
      </c>
      <c r="L16" s="458"/>
      <c r="M16" s="458" t="str">
        <f>IF(IFERROR(VLOOKUP($M$11, InstitutionerTabel[], 3, FALSE), "")="", "", IFERROR(VLOOKUP($M$11, InstitutionerTabel[], 3, FALSE), ""))</f>
        <v/>
      </c>
      <c r="N16" s="458"/>
      <c r="O16" s="458" t="str">
        <f>IF(IFERROR(VLOOKUP($O$11, InstitutionerTabel[], 3, FALSE), "")="", "", IFERROR(VLOOKUP($O$11, InstitutionerTabel[], 3, FALSE), ""))</f>
        <v/>
      </c>
      <c r="P16" s="458"/>
      <c r="Q16" s="458" t="str">
        <f>IF(IFERROR(VLOOKUP($Q$11, InstitutionerTabel[], 3, FALSE), "")="", "", IFERROR(VLOOKUP($Q$11, InstitutionerTabel[], 3, FALSE), ""))</f>
        <v/>
      </c>
      <c r="R16" s="458"/>
      <c r="S16" s="458" t="str">
        <f>IF(IFERROR(VLOOKUP($S$11, InstitutionerTabel[], 3, FALSE), "")="", "", IFERROR(VLOOKUP($S$11, InstitutionerTabel[], 3, FALSE), ""))</f>
        <v/>
      </c>
      <c r="T16" s="458"/>
      <c r="U16" s="458" t="str">
        <f>IF(IFERROR(VLOOKUP($U$11, InstitutionerTabel[], 3, FALSE), "")="", "", IFERROR(VLOOKUP($U$11, InstitutionerTabel[], 3, FALSE), ""))</f>
        <v/>
      </c>
      <c r="V16" s="458"/>
      <c r="W16" s="458" t="str">
        <f>IF(IFERROR(VLOOKUP($W$11, InstitutionerTabel[], 3, FALSE), "")="", "", IFERROR(VLOOKUP($W$11, InstitutionerTabel[], 3, FALSE), ""))</f>
        <v/>
      </c>
      <c r="X16" s="458"/>
    </row>
    <row r="17" spans="1:38" ht="18" customHeight="1" x14ac:dyDescent="0.2">
      <c r="A17" s="439" t="s">
        <v>775</v>
      </c>
      <c r="B17" s="439"/>
      <c r="C17" s="458" t="str">
        <f>IF(IFERROR(VLOOKUP($C$11, InstitutionerTabel[], 4, FALSE), "")="", "", IFERROR(VLOOKUP($C$11, InstitutionerTabel[], 4, FALSE), ""))</f>
        <v/>
      </c>
      <c r="D17" s="458"/>
      <c r="E17" s="458" t="str">
        <f>IF(IFERROR(VLOOKUP($E$11, InstitutionerTabel[], 4, FALSE), "")="", "", IFERROR(VLOOKUP($E$11, InstitutionerTabel[], 4, FALSE), ""))</f>
        <v/>
      </c>
      <c r="F17" s="458"/>
      <c r="G17" s="458" t="str">
        <f>IF(IFERROR(VLOOKUP($G$11, InstitutionerTabel[], 4, FALSE), "")="", "", IFERROR(VLOOKUP($G$11, InstitutionerTabel[], 4, FALSE), ""))</f>
        <v/>
      </c>
      <c r="H17" s="458"/>
      <c r="I17" s="458" t="str">
        <f>IF(IFERROR(VLOOKUP($I$11, InstitutionerTabel[], 4, FALSE), "")="", "", IFERROR(VLOOKUP($I$11, InstitutionerTabel[], 4, FALSE), ""))</f>
        <v/>
      </c>
      <c r="J17" s="458"/>
      <c r="K17" s="458" t="str">
        <f>IF(IFERROR(VLOOKUP($K$11, InstitutionerTabel[], 4, FALSE), "")="", "", IFERROR(VLOOKUP($K$11, InstitutionerTabel[], 4, FALSE), ""))</f>
        <v/>
      </c>
      <c r="L17" s="458"/>
      <c r="M17" s="458" t="str">
        <f>IF(IFERROR(VLOOKUP($M$11, InstitutionerTabel[], 4, FALSE), "")="", "", IFERROR(VLOOKUP($M$11, InstitutionerTabel[], 4, FALSE), ""))</f>
        <v/>
      </c>
      <c r="N17" s="458"/>
      <c r="O17" s="458" t="str">
        <f>IF(IFERROR(VLOOKUP($O$11, InstitutionerTabel[], 4, FALSE), "")="", "", IFERROR(VLOOKUP($O$11, InstitutionerTabel[], 4, FALSE), ""))</f>
        <v/>
      </c>
      <c r="P17" s="458"/>
      <c r="Q17" s="458" t="str">
        <f>IF(IFERROR(VLOOKUP($Q$11, InstitutionerTabel[], 4, FALSE), "")="", "", IFERROR(VLOOKUP($Q$11, InstitutionerTabel[], 4, FALSE), ""))</f>
        <v/>
      </c>
      <c r="R17" s="458"/>
      <c r="S17" s="458" t="str">
        <f>IF(IFERROR(VLOOKUP($S$11, InstitutionerTabel[], 4, FALSE), "")="", "", IFERROR(VLOOKUP($S$11, InstitutionerTabel[], 4, FALSE), ""))</f>
        <v/>
      </c>
      <c r="T17" s="458"/>
      <c r="U17" s="458" t="str">
        <f>IF(IFERROR(VLOOKUP($U$11, InstitutionerTabel[], 4, FALSE), "")="", "", IFERROR(VLOOKUP($U$11, InstitutionerTabel[], 4, FALSE), ""))</f>
        <v/>
      </c>
      <c r="V17" s="458"/>
      <c r="W17" s="458" t="str">
        <f>IF(IFERROR(VLOOKUP($W$11, InstitutionerTabel[], 4, FALSE), "")="", "", IFERROR(VLOOKUP($W$11, InstitutionerTabel[], 4, FALSE), ""))</f>
        <v/>
      </c>
      <c r="X17" s="458"/>
    </row>
    <row r="18" spans="1:38" ht="18" customHeight="1" x14ac:dyDescent="0.2">
      <c r="A18" s="439" t="s">
        <v>0</v>
      </c>
      <c r="B18" s="439"/>
      <c r="C18" s="458"/>
      <c r="D18" s="458"/>
      <c r="E18" s="458"/>
      <c r="F18" s="458"/>
      <c r="G18" s="458"/>
      <c r="H18" s="458"/>
      <c r="I18" s="458"/>
      <c r="J18" s="458"/>
      <c r="K18" s="458"/>
      <c r="L18" s="458"/>
      <c r="M18" s="458"/>
      <c r="N18" s="458"/>
      <c r="O18" s="458"/>
      <c r="P18" s="458"/>
      <c r="Q18" s="458"/>
      <c r="R18" s="458"/>
      <c r="S18" s="458"/>
      <c r="T18" s="458"/>
      <c r="U18" s="458"/>
      <c r="V18" s="458"/>
      <c r="W18" s="458"/>
      <c r="X18" s="458"/>
    </row>
    <row r="19" spans="1:38" ht="18" customHeight="1" x14ac:dyDescent="0.2">
      <c r="A19" s="439" t="s">
        <v>822</v>
      </c>
      <c r="B19" s="439"/>
      <c r="C19" s="458" t="str">
        <f>IF(IFERROR(VLOOKUP($C$11, InstitutionerTabel[], 5, FALSE), "")="", "", IFERROR(VLOOKUP($C$11, InstitutionerTabel[],5, FALSE), ""))</f>
        <v/>
      </c>
      <c r="D19" s="458"/>
      <c r="E19" s="458" t="str">
        <f>IF(IFERROR(VLOOKUP($E$11, InstitutionerTabel[], 5, FALSE), "")="", "", IFERROR(VLOOKUP($E$11, InstitutionerTabel[],5, FALSE), ""))</f>
        <v/>
      </c>
      <c r="F19" s="458"/>
      <c r="G19" s="458" t="str">
        <f>IF(IFERROR(VLOOKUP($G$11, InstitutionerTabel[], 5, FALSE), "")="", "", IFERROR(VLOOKUP($G$11, InstitutionerTabel[],5, FALSE), ""))</f>
        <v/>
      </c>
      <c r="H19" s="458"/>
      <c r="I19" s="458" t="str">
        <f>IF(IFERROR(VLOOKUP($I$11, InstitutionerTabel[], 5, FALSE), "")="", "", IFERROR(VLOOKUP($I$11, InstitutionerTabel[],5, FALSE), ""))</f>
        <v/>
      </c>
      <c r="J19" s="458"/>
      <c r="K19" s="458" t="str">
        <f>IF(IFERROR(VLOOKUP($K$11, InstitutionerTabel[], 5, FALSE), "")="", "", IFERROR(VLOOKUP($K$11, InstitutionerTabel[],5, FALSE), ""))</f>
        <v/>
      </c>
      <c r="L19" s="458"/>
      <c r="M19" s="458" t="str">
        <f>IF(IFERROR(VLOOKUP($M$11, InstitutionerTabel[], 5, FALSE), "")="", "", IFERROR(VLOOKUP($M$11, InstitutionerTabel[],5, FALSE), ""))</f>
        <v/>
      </c>
      <c r="N19" s="458"/>
      <c r="O19" s="458" t="str">
        <f>IF(IFERROR(VLOOKUP($O$11, InstitutionerTabel[], 5, FALSE), "")="", "", IFERROR(VLOOKUP($O$11, InstitutionerTabel[],5, FALSE), ""))</f>
        <v/>
      </c>
      <c r="P19" s="458"/>
      <c r="Q19" s="458" t="str">
        <f>IF(IFERROR(VLOOKUP($Q$11, InstitutionerTabel[], 5, FALSE), "")="", "", IFERROR(VLOOKUP($Q$11, InstitutionerTabel[],5, FALSE), ""))</f>
        <v/>
      </c>
      <c r="R19" s="458"/>
      <c r="S19" s="458" t="str">
        <f>IF(IFERROR(VLOOKUP($S$11, InstitutionerTabel[], 5, FALSE), "")="", "", IFERROR(VLOOKUP($S$11, InstitutionerTabel[],5, FALSE), ""))</f>
        <v/>
      </c>
      <c r="T19" s="458"/>
      <c r="U19" s="458" t="str">
        <f>IF(IFERROR(VLOOKUP($U$11, InstitutionerTabel[], 5, FALSE), "")="", "", IFERROR(VLOOKUP($U$11, InstitutionerTabel[],5, FALSE), ""))</f>
        <v/>
      </c>
      <c r="V19" s="458"/>
      <c r="W19" s="458" t="str">
        <f>IF(IFERROR(VLOOKUP($W$11, InstitutionerTabel[], 5, FALSE), "")="", "", IFERROR(VLOOKUP($W$11, InstitutionerTabel[],5, FALSE), ""))</f>
        <v/>
      </c>
      <c r="X19" s="458"/>
    </row>
    <row r="20" spans="1:38" ht="18" customHeight="1" x14ac:dyDescent="0.2">
      <c r="A20" s="439" t="s">
        <v>776</v>
      </c>
      <c r="B20" s="439"/>
      <c r="C20" s="458" t="str">
        <f>IF(IFERROR(VLOOKUP($C$11, InstitutionerTabel[], 6, FALSE), "")="", "", IFERROR(VLOOKUP($C$11, InstitutionerTabel[], 6, FALSE), ""))</f>
        <v/>
      </c>
      <c r="D20" s="458"/>
      <c r="E20" s="458" t="str">
        <f>IF(IFERROR(VLOOKUP($E$11, InstitutionerTabel[], 6, FALSE), "")="", "", IFERROR(VLOOKUP($E$11, InstitutionerTabel[], 6, FALSE), ""))</f>
        <v/>
      </c>
      <c r="F20" s="458"/>
      <c r="G20" s="458" t="str">
        <f>IF(IFERROR(VLOOKUP($G$11, InstitutionerTabel[], 6, FALSE), "")="", "", IFERROR(VLOOKUP($G$11, InstitutionerTabel[], 6, FALSE), ""))</f>
        <v/>
      </c>
      <c r="H20" s="458"/>
      <c r="I20" s="458" t="str">
        <f>IF(IFERROR(VLOOKUP($I$11, InstitutionerTabel[], 6, FALSE), "")="", "", IFERROR(VLOOKUP($I$11, InstitutionerTabel[], 6, FALSE), ""))</f>
        <v/>
      </c>
      <c r="J20" s="458"/>
      <c r="K20" s="458" t="str">
        <f>IF(IFERROR(VLOOKUP($K$11, InstitutionerTabel[], 6, FALSE), "")="", "", IFERROR(VLOOKUP($K$11, InstitutionerTabel[], 6, FALSE), ""))</f>
        <v/>
      </c>
      <c r="L20" s="458"/>
      <c r="M20" s="458" t="str">
        <f>IF(IFERROR(VLOOKUP($M$11, InstitutionerTabel[], 6, FALSE), "")="", "", IFERROR(VLOOKUP($M$11, InstitutionerTabel[], 6, FALSE), ""))</f>
        <v/>
      </c>
      <c r="N20" s="458"/>
      <c r="O20" s="458" t="str">
        <f>IF(IFERROR(VLOOKUP($O$11, InstitutionerTabel[], 6, FALSE), "")="", "", IFERROR(VLOOKUP($O$11, InstitutionerTabel[], 6, FALSE), ""))</f>
        <v/>
      </c>
      <c r="P20" s="458"/>
      <c r="Q20" s="458" t="str">
        <f>IF(IFERROR(VLOOKUP($Q$11, InstitutionerTabel[], 6, FALSE), "")="", "", IFERROR(VLOOKUP($Q$11, InstitutionerTabel[], 6, FALSE), ""))</f>
        <v/>
      </c>
      <c r="R20" s="458"/>
      <c r="S20" s="458" t="str">
        <f>IF(IFERROR(VLOOKUP($S$11, InstitutionerTabel[], 6, FALSE), "")="", "", IFERROR(VLOOKUP($S$11, InstitutionerTabel[], 6, FALSE), ""))</f>
        <v/>
      </c>
      <c r="T20" s="458"/>
      <c r="U20" s="458" t="str">
        <f>IF(IFERROR(VLOOKUP($U$11, InstitutionerTabel[], 6, FALSE), "")="", "", IFERROR(VLOOKUP($U$11, InstitutionerTabel[], 6, FALSE), ""))</f>
        <v/>
      </c>
      <c r="V20" s="458"/>
      <c r="W20" s="458" t="str">
        <f>IF(IFERROR(VLOOKUP($W$11, InstitutionerTabel[], 6, FALSE), "")="", "", IFERROR(VLOOKUP($W$11, InstitutionerTabel[], 6, FALSE), ""))</f>
        <v/>
      </c>
      <c r="X20" s="458"/>
    </row>
    <row r="21" spans="1:38" ht="27.75" customHeight="1" x14ac:dyDescent="0.2">
      <c r="A21" s="439" t="s">
        <v>777</v>
      </c>
      <c r="B21" s="439"/>
      <c r="C21" s="458" t="str">
        <f>IF(IFERROR(VLOOKUP($C$11, InstitutionerTabel[], 7, FALSE), "")="", "", IFERROR(VLOOKUP($C$11, InstitutionerTabel[], 7, FALSE), ""))</f>
        <v/>
      </c>
      <c r="D21" s="458"/>
      <c r="E21" s="458" t="str">
        <f>IF(IFERROR(VLOOKUP($E$11, InstitutionerTabel[], 7, FALSE), "")="", "", IFERROR(VLOOKUP($E$11, InstitutionerTabel[], 7, FALSE), ""))</f>
        <v/>
      </c>
      <c r="F21" s="458"/>
      <c r="G21" s="458" t="str">
        <f>IF(IFERROR(VLOOKUP($G$11, InstitutionerTabel[], 7, FALSE), "")="", "", IFERROR(VLOOKUP($G$11, InstitutionerTabel[], 7, FALSE), ""))</f>
        <v/>
      </c>
      <c r="H21" s="458"/>
      <c r="I21" s="458" t="str">
        <f>IF(IFERROR(VLOOKUP($I$11, InstitutionerTabel[], 7, FALSE), "")="", "", IFERROR(VLOOKUP($I$11, InstitutionerTabel[], 7, FALSE), ""))</f>
        <v/>
      </c>
      <c r="J21" s="458"/>
      <c r="K21" s="458" t="str">
        <f>IF(IFERROR(VLOOKUP($K$11, InstitutionerTabel[], 7, FALSE), "")="", "", IFERROR(VLOOKUP($K$11, InstitutionerTabel[], 7, FALSE), ""))</f>
        <v/>
      </c>
      <c r="L21" s="458"/>
      <c r="M21" s="458" t="str">
        <f>IF(IFERROR(VLOOKUP($M$11, InstitutionerTabel[], 7, FALSE), "")="", "", IFERROR(VLOOKUP($M$11, InstitutionerTabel[], 7, FALSE), ""))</f>
        <v/>
      </c>
      <c r="N21" s="458"/>
      <c r="O21" s="458" t="str">
        <f>IF(IFERROR(VLOOKUP($O$11, InstitutionerTabel[], 7, FALSE), "")="", "", IFERROR(VLOOKUP($O$11, InstitutionerTabel[], 7, FALSE), ""))</f>
        <v/>
      </c>
      <c r="P21" s="458"/>
      <c r="Q21" s="458" t="str">
        <f>IF(IFERROR(VLOOKUP($Q$11, InstitutionerTabel[], 7, FALSE), "")="", "", IFERROR(VLOOKUP($Q$11, InstitutionerTabel[], 7, FALSE), ""))</f>
        <v/>
      </c>
      <c r="R21" s="458"/>
      <c r="S21" s="458" t="str">
        <f>IF(IFERROR(VLOOKUP($S$11, InstitutionerTabel[], 7, FALSE), "")="", "", IFERROR(VLOOKUP($S$11, InstitutionerTabel[], 7, FALSE), ""))</f>
        <v/>
      </c>
      <c r="T21" s="458"/>
      <c r="U21" s="458" t="str">
        <f>IF(IFERROR(VLOOKUP($U$11, InstitutionerTabel[], 7, FALSE), "")="", "", IFERROR(VLOOKUP($U$11, InstitutionerTabel[], 7, FALSE), ""))</f>
        <v/>
      </c>
      <c r="V21" s="458"/>
      <c r="W21" s="458" t="str">
        <f>IF(IFERROR(VLOOKUP($W$11, InstitutionerTabel[], 7, FALSE), "")="", "", IFERROR(VLOOKUP($W$11, InstitutionerTabel[], 7, FALSE), ""))</f>
        <v/>
      </c>
      <c r="X21" s="458"/>
    </row>
    <row r="22" spans="1:38" ht="28.5" customHeight="1" x14ac:dyDescent="0.2">
      <c r="A22" s="439" t="s">
        <v>25</v>
      </c>
      <c r="B22" s="439"/>
      <c r="C22" s="459" t="str">
        <f>IF(IFERROR(VLOOKUP($C$11, InstitutionerTabel[], 8, FALSE), "")="", "", IFERROR(VLOOKUP($C$11, InstitutionerTabel[], 8, FALSE), ""))</f>
        <v/>
      </c>
      <c r="D22" s="459"/>
      <c r="E22" s="459" t="str">
        <f>IF(IFERROR(VLOOKUP($E$11, InstitutionerTabel[], 8, FALSE), "")="", "", IFERROR(VLOOKUP($E$11, InstitutionerTabel[], 8, FALSE), ""))</f>
        <v/>
      </c>
      <c r="F22" s="459"/>
      <c r="G22" s="459" t="str">
        <f>IF(IFERROR(VLOOKUP($G$11, InstitutionerTabel[], 8, FALSE), "")="", "", IFERROR(VLOOKUP($G$11, InstitutionerTabel[], 8, FALSE), ""))</f>
        <v/>
      </c>
      <c r="H22" s="459"/>
      <c r="I22" s="459" t="str">
        <f>IF(IFERROR(VLOOKUP($I$11, InstitutionerTabel[], 8, FALSE), "")="", "", IFERROR(VLOOKUP($I$11, InstitutionerTabel[], 8, FALSE), ""))</f>
        <v/>
      </c>
      <c r="J22" s="459"/>
      <c r="K22" s="459" t="str">
        <f>IF(IFERROR(VLOOKUP($K$11, InstitutionerTabel[], 8, FALSE), "")="", "", IFERROR(VLOOKUP($K$11, InstitutionerTabel[], 8, FALSE), ""))</f>
        <v/>
      </c>
      <c r="L22" s="459"/>
      <c r="M22" s="459" t="str">
        <f>IF(IFERROR(VLOOKUP($M$11, InstitutionerTabel[], 8, FALSE), "")="", "", IFERROR(VLOOKUP($M$11, InstitutionerTabel[], 8, FALSE), ""))</f>
        <v/>
      </c>
      <c r="N22" s="459"/>
      <c r="O22" s="459" t="str">
        <f>IF(IFERROR(VLOOKUP($O$11, InstitutionerTabel[], 8, FALSE), "")="", "", IFERROR(VLOOKUP($O$11, InstitutionerTabel[], 8, FALSE), ""))</f>
        <v/>
      </c>
      <c r="P22" s="459"/>
      <c r="Q22" s="459" t="str">
        <f>IF(IFERROR(VLOOKUP($Q$11, InstitutionerTabel[], 8, FALSE), "")="", "", IFERROR(VLOOKUP($Q$11, InstitutionerTabel[], 8, FALSE), ""))</f>
        <v/>
      </c>
      <c r="R22" s="459"/>
      <c r="S22" s="459" t="str">
        <f>IF(IFERROR(VLOOKUP($S$11, InstitutionerTabel[], 8, FALSE), "")="", "", IFERROR(VLOOKUP($S$11, InstitutionerTabel[], 8, FALSE), ""))</f>
        <v/>
      </c>
      <c r="T22" s="459"/>
      <c r="U22" s="459" t="str">
        <f>IF(IFERROR(VLOOKUP($U$11, InstitutionerTabel[], 8, FALSE), "")="", "", IFERROR(VLOOKUP($U$11, InstitutionerTabel[], 8, FALSE), ""))</f>
        <v/>
      </c>
      <c r="V22" s="459"/>
      <c r="W22" s="459" t="str">
        <f>IF(IFERROR(VLOOKUP($W$11, InstitutionerTabel[], 8, FALSE), "")="", "", IFERROR(VLOOKUP($W$11, InstitutionerTabel[], 8, FALSE), ""))</f>
        <v/>
      </c>
      <c r="X22" s="459"/>
    </row>
    <row r="23" spans="1:38" ht="75.75" customHeight="1" x14ac:dyDescent="0.2">
      <c r="A23" s="155"/>
      <c r="B23" s="156"/>
      <c r="C23" s="156"/>
      <c r="D23" s="156"/>
      <c r="E23" s="156"/>
      <c r="F23" s="156"/>
      <c r="G23" s="156"/>
      <c r="H23" s="156"/>
      <c r="I23" s="397"/>
      <c r="M23" s="157"/>
    </row>
    <row r="24" spans="1:38" ht="39.75" customHeight="1" x14ac:dyDescent="0.25">
      <c r="A24" s="479" t="s">
        <v>833</v>
      </c>
      <c r="B24" s="479"/>
      <c r="C24" s="479"/>
      <c r="D24" s="479"/>
      <c r="E24" s="479"/>
      <c r="F24" s="479"/>
      <c r="G24" s="158" t="s">
        <v>823</v>
      </c>
      <c r="H24" s="497" t="s">
        <v>842</v>
      </c>
      <c r="I24" s="498"/>
      <c r="J24" s="498"/>
      <c r="K24" s="498"/>
      <c r="L24" s="498"/>
      <c r="M24" s="498"/>
      <c r="N24" s="498"/>
      <c r="O24" s="499"/>
      <c r="P24" s="500"/>
      <c r="Q24" s="410" t="s">
        <v>823</v>
      </c>
      <c r="R24" s="494" t="s">
        <v>15</v>
      </c>
      <c r="S24" s="495"/>
      <c r="T24" s="496" t="s">
        <v>16</v>
      </c>
      <c r="U24" s="495"/>
      <c r="V24" s="320"/>
    </row>
    <row r="25" spans="1:38" ht="41.25" customHeight="1" thickBot="1" x14ac:dyDescent="0.25">
      <c r="A25" s="131" t="s">
        <v>787</v>
      </c>
      <c r="B25" s="132" t="s">
        <v>780</v>
      </c>
      <c r="C25" s="133" t="s">
        <v>732</v>
      </c>
      <c r="D25" s="134" t="s">
        <v>687</v>
      </c>
      <c r="E25" s="134" t="s">
        <v>2</v>
      </c>
      <c r="F25" s="134" t="s">
        <v>3</v>
      </c>
      <c r="G25" s="159" t="s">
        <v>788</v>
      </c>
      <c r="H25" s="384">
        <f>FirstYear</f>
        <v>2021</v>
      </c>
      <c r="I25" s="385">
        <f>FirstYear+1</f>
        <v>2022</v>
      </c>
      <c r="J25" s="385">
        <f>FirstYear+2</f>
        <v>2023</v>
      </c>
      <c r="K25" s="385">
        <f>FirstYear+3</f>
        <v>2024</v>
      </c>
      <c r="L25" s="385">
        <f>FirstYear+4</f>
        <v>2025</v>
      </c>
      <c r="M25" s="385">
        <f>FirstYear+5</f>
        <v>2026</v>
      </c>
      <c r="N25" s="411">
        <f>FirstYear+6</f>
        <v>2027</v>
      </c>
      <c r="O25" s="385">
        <f>FirstYear+7</f>
        <v>2028</v>
      </c>
      <c r="P25" s="386">
        <f>FirstYear+8</f>
        <v>2029</v>
      </c>
      <c r="Q25" s="318" t="s">
        <v>843</v>
      </c>
      <c r="R25" s="319" t="s">
        <v>788</v>
      </c>
      <c r="S25" s="160" t="s">
        <v>14</v>
      </c>
      <c r="T25" s="161" t="s">
        <v>788</v>
      </c>
      <c r="U25" s="161" t="s">
        <v>14</v>
      </c>
      <c r="V25" s="321" t="s">
        <v>789</v>
      </c>
      <c r="W25" s="134" t="s">
        <v>4</v>
      </c>
      <c r="X25" s="506" t="s">
        <v>744</v>
      </c>
      <c r="Y25" s="507"/>
      <c r="Z25" s="507"/>
      <c r="AA25" s="507"/>
      <c r="AB25" s="507"/>
      <c r="AC25" s="507"/>
      <c r="AD25" s="408"/>
      <c r="AE25" s="408"/>
      <c r="AF25" s="408"/>
      <c r="AG25" s="408"/>
      <c r="AH25" s="408"/>
      <c r="AI25" s="408"/>
      <c r="AJ25" s="408"/>
      <c r="AK25" s="409"/>
    </row>
    <row r="26" spans="1:38" ht="39.950000000000003" customHeight="1" x14ac:dyDescent="0.2">
      <c r="A26" s="142" t="s">
        <v>783</v>
      </c>
      <c r="B26" s="142" t="s">
        <v>1</v>
      </c>
      <c r="C26" s="136" t="str">
        <f t="shared" ref="C26:C40" si="0">IFERROR(IF(HLOOKUP($B26, InsitutionT, 2, FALSE)="","",HLOOKUP($B26, InsitutionT, 2, FALSE)), "")</f>
        <v/>
      </c>
      <c r="D26" s="137"/>
      <c r="E26" s="138" t="str">
        <f>ApplicantFirstName</f>
        <v/>
      </c>
      <c r="F26" s="138" t="str">
        <f>ApplicantSurname</f>
        <v/>
      </c>
      <c r="G26" s="194"/>
      <c r="H26" s="195"/>
      <c r="I26" s="195"/>
      <c r="J26" s="195"/>
      <c r="K26" s="195"/>
      <c r="L26" s="195"/>
      <c r="M26" s="195"/>
      <c r="N26" s="326"/>
      <c r="O26" s="195"/>
      <c r="P26" s="326"/>
      <c r="Q26" s="316" t="str">
        <f t="shared" ref="Q26:Q31" si="1">IFERROR(IF(SUM($H26:$P26)=0,"",SUM($H26:$P26)),"")</f>
        <v/>
      </c>
      <c r="R26" s="325"/>
      <c r="S26" s="196"/>
      <c r="T26" s="197"/>
      <c r="U26" s="196"/>
      <c r="V26" s="324" t="str">
        <f t="shared" ref="V26:V40" si="2">IFERROR(IF(SUM($G26,$R26,$T26)=0,"",SUM($G26,$R26,$T26)),"")</f>
        <v/>
      </c>
      <c r="W26" s="322" t="str">
        <f t="shared" ref="W26:W40" si="3">IFERROR(IF(SUM($Q26,$S26,$U26)=0,"",SUM($Q26,$S26,$U26)),"")</f>
        <v/>
      </c>
      <c r="X26" s="509"/>
      <c r="Y26" s="510"/>
      <c r="Z26" s="510"/>
      <c r="AA26" s="510"/>
      <c r="AB26" s="510"/>
      <c r="AC26" s="510"/>
      <c r="AD26" s="510"/>
      <c r="AE26" s="510"/>
      <c r="AF26" s="510"/>
      <c r="AG26" s="510"/>
      <c r="AH26" s="510"/>
      <c r="AI26" s="510"/>
      <c r="AJ26" s="510"/>
      <c r="AK26" s="511"/>
    </row>
    <row r="27" spans="1:38" ht="39.950000000000003" customHeight="1" x14ac:dyDescent="0.2">
      <c r="A27" s="143"/>
      <c r="B27" s="143"/>
      <c r="C27" s="139" t="str">
        <f>IFERROR(IF(HLOOKUP($B27, InsitutionT, 2, FALSE)="","",HLOOKUP($B27, InsitutionT, 2, FALSE)), "")</f>
        <v/>
      </c>
      <c r="D27" s="140"/>
      <c r="E27" s="140"/>
      <c r="F27" s="140"/>
      <c r="G27" s="198"/>
      <c r="H27" s="199"/>
      <c r="I27" s="199"/>
      <c r="J27" s="199"/>
      <c r="K27" s="199"/>
      <c r="L27" s="199"/>
      <c r="M27" s="199"/>
      <c r="N27" s="209"/>
      <c r="O27" s="199"/>
      <c r="P27" s="209"/>
      <c r="Q27" s="316" t="str">
        <f t="shared" si="1"/>
        <v/>
      </c>
      <c r="R27" s="209"/>
      <c r="S27" s="198"/>
      <c r="T27" s="199"/>
      <c r="U27" s="198"/>
      <c r="V27" s="317" t="str">
        <f t="shared" si="2"/>
        <v/>
      </c>
      <c r="W27" s="323" t="str">
        <f t="shared" si="3"/>
        <v/>
      </c>
      <c r="X27" s="433"/>
      <c r="Y27" s="428"/>
      <c r="Z27" s="428"/>
      <c r="AA27" s="428"/>
      <c r="AB27" s="428"/>
      <c r="AC27" s="428"/>
      <c r="AD27" s="428"/>
      <c r="AE27" s="428"/>
      <c r="AF27" s="428"/>
      <c r="AG27" s="428"/>
      <c r="AH27" s="428"/>
      <c r="AI27" s="428"/>
      <c r="AJ27" s="428"/>
      <c r="AK27" s="429"/>
      <c r="AL27" s="154">
        <f>SUM(COUNTIFS($A$27:A27,A27))</f>
        <v>0</v>
      </c>
    </row>
    <row r="28" spans="1:38" ht="39.950000000000003" customHeight="1" x14ac:dyDescent="0.2">
      <c r="A28" s="143"/>
      <c r="B28" s="143"/>
      <c r="C28" s="139" t="str">
        <f t="shared" si="0"/>
        <v/>
      </c>
      <c r="D28" s="140"/>
      <c r="E28" s="140"/>
      <c r="F28" s="140"/>
      <c r="G28" s="198"/>
      <c r="H28" s="199"/>
      <c r="I28" s="199"/>
      <c r="J28" s="199"/>
      <c r="K28" s="199"/>
      <c r="L28" s="199"/>
      <c r="M28" s="199"/>
      <c r="N28" s="209"/>
      <c r="O28" s="199"/>
      <c r="P28" s="209"/>
      <c r="Q28" s="316" t="str">
        <f t="shared" si="1"/>
        <v/>
      </c>
      <c r="R28" s="209"/>
      <c r="S28" s="198"/>
      <c r="T28" s="199"/>
      <c r="U28" s="198"/>
      <c r="V28" s="317" t="str">
        <f t="shared" si="2"/>
        <v/>
      </c>
      <c r="W28" s="323" t="str">
        <f t="shared" si="3"/>
        <v/>
      </c>
      <c r="X28" s="433"/>
      <c r="Y28" s="428"/>
      <c r="Z28" s="428"/>
      <c r="AA28" s="428"/>
      <c r="AB28" s="428"/>
      <c r="AC28" s="428"/>
      <c r="AD28" s="428"/>
      <c r="AE28" s="428"/>
      <c r="AF28" s="428"/>
      <c r="AG28" s="428"/>
      <c r="AH28" s="428"/>
      <c r="AI28" s="428"/>
      <c r="AJ28" s="428"/>
      <c r="AK28" s="429"/>
      <c r="AL28" s="154">
        <f>SUM(COUNTIFS($A$27:A28,A28))</f>
        <v>0</v>
      </c>
    </row>
    <row r="29" spans="1:38" ht="39.950000000000003" customHeight="1" x14ac:dyDescent="0.2">
      <c r="A29" s="143"/>
      <c r="B29" s="143"/>
      <c r="C29" s="139" t="str">
        <f t="shared" si="0"/>
        <v/>
      </c>
      <c r="D29" s="140"/>
      <c r="E29" s="140"/>
      <c r="F29" s="140"/>
      <c r="G29" s="198"/>
      <c r="H29" s="199"/>
      <c r="I29" s="199"/>
      <c r="J29" s="199"/>
      <c r="K29" s="199"/>
      <c r="L29" s="199"/>
      <c r="M29" s="199"/>
      <c r="N29" s="209"/>
      <c r="O29" s="199"/>
      <c r="P29" s="209"/>
      <c r="Q29" s="316" t="str">
        <f t="shared" si="1"/>
        <v/>
      </c>
      <c r="R29" s="209"/>
      <c r="S29" s="198"/>
      <c r="T29" s="199"/>
      <c r="U29" s="198"/>
      <c r="V29" s="317" t="str">
        <f t="shared" si="2"/>
        <v/>
      </c>
      <c r="W29" s="323" t="str">
        <f t="shared" si="3"/>
        <v/>
      </c>
      <c r="X29" s="433"/>
      <c r="Y29" s="428"/>
      <c r="Z29" s="428"/>
      <c r="AA29" s="428"/>
      <c r="AB29" s="428"/>
      <c r="AC29" s="428"/>
      <c r="AD29" s="428"/>
      <c r="AE29" s="428"/>
      <c r="AF29" s="428"/>
      <c r="AG29" s="428"/>
      <c r="AH29" s="428"/>
      <c r="AI29" s="428"/>
      <c r="AJ29" s="428"/>
      <c r="AK29" s="429"/>
      <c r="AL29" s="154">
        <f>SUM(COUNTIFS($A$27:A29,A29))</f>
        <v>0</v>
      </c>
    </row>
    <row r="30" spans="1:38" ht="39.950000000000003" customHeight="1" x14ac:dyDescent="0.2">
      <c r="A30" s="143"/>
      <c r="B30" s="143"/>
      <c r="C30" s="139" t="str">
        <f t="shared" si="0"/>
        <v/>
      </c>
      <c r="D30" s="140"/>
      <c r="E30" s="140"/>
      <c r="F30" s="140"/>
      <c r="G30" s="198"/>
      <c r="H30" s="199"/>
      <c r="I30" s="199"/>
      <c r="J30" s="199"/>
      <c r="K30" s="199"/>
      <c r="L30" s="199"/>
      <c r="M30" s="199"/>
      <c r="N30" s="209"/>
      <c r="O30" s="199"/>
      <c r="P30" s="209"/>
      <c r="Q30" s="316" t="str">
        <f t="shared" si="1"/>
        <v/>
      </c>
      <c r="R30" s="209"/>
      <c r="S30" s="198"/>
      <c r="T30" s="199"/>
      <c r="U30" s="198"/>
      <c r="V30" s="317" t="str">
        <f t="shared" si="2"/>
        <v/>
      </c>
      <c r="W30" s="323" t="str">
        <f t="shared" si="3"/>
        <v/>
      </c>
      <c r="X30" s="433"/>
      <c r="Y30" s="428"/>
      <c r="Z30" s="428"/>
      <c r="AA30" s="428"/>
      <c r="AB30" s="428"/>
      <c r="AC30" s="428"/>
      <c r="AD30" s="428"/>
      <c r="AE30" s="428"/>
      <c r="AF30" s="428"/>
      <c r="AG30" s="428"/>
      <c r="AH30" s="428"/>
      <c r="AI30" s="428"/>
      <c r="AJ30" s="428"/>
      <c r="AK30" s="429"/>
      <c r="AL30" s="154">
        <f>SUM(COUNTIFS($A$27:A30,A30))</f>
        <v>0</v>
      </c>
    </row>
    <row r="31" spans="1:38" ht="39.950000000000003" customHeight="1" x14ac:dyDescent="0.2">
      <c r="A31" s="143"/>
      <c r="B31" s="143"/>
      <c r="C31" s="139" t="str">
        <f t="shared" si="0"/>
        <v/>
      </c>
      <c r="D31" s="140"/>
      <c r="E31" s="140"/>
      <c r="F31" s="140"/>
      <c r="G31" s="198"/>
      <c r="H31" s="199"/>
      <c r="I31" s="199"/>
      <c r="J31" s="199"/>
      <c r="K31" s="199"/>
      <c r="L31" s="199"/>
      <c r="M31" s="199"/>
      <c r="N31" s="209"/>
      <c r="O31" s="199"/>
      <c r="P31" s="209"/>
      <c r="Q31" s="316" t="str">
        <f t="shared" si="1"/>
        <v/>
      </c>
      <c r="R31" s="209"/>
      <c r="S31" s="198"/>
      <c r="T31" s="199"/>
      <c r="U31" s="198"/>
      <c r="V31" s="317" t="str">
        <f t="shared" si="2"/>
        <v/>
      </c>
      <c r="W31" s="323" t="str">
        <f t="shared" si="3"/>
        <v/>
      </c>
      <c r="X31" s="433"/>
      <c r="Y31" s="428"/>
      <c r="Z31" s="428"/>
      <c r="AA31" s="428"/>
      <c r="AB31" s="428"/>
      <c r="AC31" s="428"/>
      <c r="AD31" s="428"/>
      <c r="AE31" s="428"/>
      <c r="AF31" s="428"/>
      <c r="AG31" s="428"/>
      <c r="AH31" s="428"/>
      <c r="AI31" s="428"/>
      <c r="AJ31" s="428"/>
      <c r="AK31" s="429"/>
      <c r="AL31" s="154">
        <f>SUM(COUNTIFS($A$27:A31,A31))</f>
        <v>0</v>
      </c>
    </row>
    <row r="32" spans="1:38" ht="39.950000000000003" customHeight="1" x14ac:dyDescent="0.2">
      <c r="A32" s="143"/>
      <c r="B32" s="143"/>
      <c r="C32" s="139" t="str">
        <f t="shared" si="0"/>
        <v/>
      </c>
      <c r="D32" s="140"/>
      <c r="E32" s="140"/>
      <c r="F32" s="140"/>
      <c r="G32" s="198"/>
      <c r="H32" s="199"/>
      <c r="I32" s="199"/>
      <c r="J32" s="199"/>
      <c r="K32" s="199"/>
      <c r="L32" s="199"/>
      <c r="M32" s="199"/>
      <c r="N32" s="209"/>
      <c r="O32" s="199"/>
      <c r="P32" s="209"/>
      <c r="Q32" s="316" t="str">
        <f t="shared" ref="Q32:Q40" si="4">IFERROR(IF(SUM($H32:$P32)=0,"",SUM($H32:$P32)),"")</f>
        <v/>
      </c>
      <c r="R32" s="209"/>
      <c r="S32" s="198"/>
      <c r="T32" s="199"/>
      <c r="U32" s="198"/>
      <c r="V32" s="317" t="str">
        <f t="shared" si="2"/>
        <v/>
      </c>
      <c r="W32" s="323" t="str">
        <f t="shared" si="3"/>
        <v/>
      </c>
      <c r="X32" s="433"/>
      <c r="Y32" s="428"/>
      <c r="Z32" s="428"/>
      <c r="AA32" s="428"/>
      <c r="AB32" s="428"/>
      <c r="AC32" s="428"/>
      <c r="AD32" s="428"/>
      <c r="AE32" s="428"/>
      <c r="AF32" s="428"/>
      <c r="AG32" s="428"/>
      <c r="AH32" s="428"/>
      <c r="AI32" s="428"/>
      <c r="AJ32" s="428"/>
      <c r="AK32" s="429"/>
      <c r="AL32" s="154">
        <f>SUM(COUNTIFS($A$27:A32,A32))</f>
        <v>0</v>
      </c>
    </row>
    <row r="33" spans="1:38" ht="39.950000000000003" customHeight="1" x14ac:dyDescent="0.2">
      <c r="A33" s="143"/>
      <c r="B33" s="143"/>
      <c r="C33" s="139" t="str">
        <f t="shared" si="0"/>
        <v/>
      </c>
      <c r="D33" s="140"/>
      <c r="E33" s="140"/>
      <c r="F33" s="140"/>
      <c r="G33" s="198"/>
      <c r="H33" s="199"/>
      <c r="I33" s="199"/>
      <c r="J33" s="199"/>
      <c r="K33" s="199"/>
      <c r="L33" s="199"/>
      <c r="M33" s="199"/>
      <c r="N33" s="209"/>
      <c r="O33" s="199"/>
      <c r="P33" s="209"/>
      <c r="Q33" s="316" t="str">
        <f t="shared" si="4"/>
        <v/>
      </c>
      <c r="R33" s="209"/>
      <c r="S33" s="198"/>
      <c r="T33" s="199"/>
      <c r="U33" s="198"/>
      <c r="V33" s="317" t="str">
        <f t="shared" si="2"/>
        <v/>
      </c>
      <c r="W33" s="323" t="str">
        <f t="shared" si="3"/>
        <v/>
      </c>
      <c r="X33" s="433"/>
      <c r="Y33" s="428"/>
      <c r="Z33" s="428"/>
      <c r="AA33" s="428"/>
      <c r="AB33" s="428"/>
      <c r="AC33" s="428"/>
      <c r="AD33" s="428"/>
      <c r="AE33" s="428"/>
      <c r="AF33" s="428"/>
      <c r="AG33" s="428"/>
      <c r="AH33" s="428"/>
      <c r="AI33" s="428"/>
      <c r="AJ33" s="428"/>
      <c r="AK33" s="429"/>
      <c r="AL33" s="154">
        <f>SUM(COUNTIFS($A$27:A33,A33))</f>
        <v>0</v>
      </c>
    </row>
    <row r="34" spans="1:38" ht="39.950000000000003" customHeight="1" x14ac:dyDescent="0.2">
      <c r="A34" s="143"/>
      <c r="B34" s="143"/>
      <c r="C34" s="139" t="str">
        <f t="shared" si="0"/>
        <v/>
      </c>
      <c r="D34" s="140"/>
      <c r="E34" s="140"/>
      <c r="F34" s="140"/>
      <c r="G34" s="198"/>
      <c r="H34" s="199"/>
      <c r="I34" s="199"/>
      <c r="J34" s="199"/>
      <c r="K34" s="199"/>
      <c r="L34" s="199"/>
      <c r="M34" s="199"/>
      <c r="N34" s="209"/>
      <c r="O34" s="199"/>
      <c r="P34" s="209"/>
      <c r="Q34" s="316" t="str">
        <f t="shared" si="4"/>
        <v/>
      </c>
      <c r="R34" s="209"/>
      <c r="S34" s="198"/>
      <c r="T34" s="199"/>
      <c r="U34" s="198"/>
      <c r="V34" s="317" t="str">
        <f t="shared" si="2"/>
        <v/>
      </c>
      <c r="W34" s="323" t="str">
        <f t="shared" si="3"/>
        <v/>
      </c>
      <c r="X34" s="433"/>
      <c r="Y34" s="428"/>
      <c r="Z34" s="428"/>
      <c r="AA34" s="428"/>
      <c r="AB34" s="428"/>
      <c r="AC34" s="428"/>
      <c r="AD34" s="428"/>
      <c r="AE34" s="428"/>
      <c r="AF34" s="428"/>
      <c r="AG34" s="428"/>
      <c r="AH34" s="428"/>
      <c r="AI34" s="428"/>
      <c r="AJ34" s="428"/>
      <c r="AK34" s="429"/>
      <c r="AL34" s="154">
        <f>SUM(COUNTIFS($A$27:A34,A34))</f>
        <v>0</v>
      </c>
    </row>
    <row r="35" spans="1:38" ht="39.950000000000003" customHeight="1" x14ac:dyDescent="0.2">
      <c r="A35" s="143"/>
      <c r="B35" s="143"/>
      <c r="C35" s="139" t="str">
        <f t="shared" si="0"/>
        <v/>
      </c>
      <c r="D35" s="140"/>
      <c r="E35" s="140"/>
      <c r="F35" s="140"/>
      <c r="G35" s="198"/>
      <c r="H35" s="199"/>
      <c r="I35" s="199"/>
      <c r="J35" s="199"/>
      <c r="K35" s="199"/>
      <c r="L35" s="199"/>
      <c r="M35" s="199"/>
      <c r="N35" s="209"/>
      <c r="O35" s="199"/>
      <c r="P35" s="209"/>
      <c r="Q35" s="316" t="str">
        <f>IFERROR(IF(SUM($H35:$P35)=0,"",SUM($H35:$P35)),"")</f>
        <v/>
      </c>
      <c r="R35" s="209"/>
      <c r="S35" s="198"/>
      <c r="T35" s="199"/>
      <c r="U35" s="198"/>
      <c r="V35" s="317" t="str">
        <f t="shared" si="2"/>
        <v/>
      </c>
      <c r="W35" s="323" t="str">
        <f t="shared" si="3"/>
        <v/>
      </c>
      <c r="X35" s="433"/>
      <c r="Y35" s="428"/>
      <c r="Z35" s="428"/>
      <c r="AA35" s="428"/>
      <c r="AB35" s="428"/>
      <c r="AC35" s="428"/>
      <c r="AD35" s="428"/>
      <c r="AE35" s="428"/>
      <c r="AF35" s="428"/>
      <c r="AG35" s="428"/>
      <c r="AH35" s="428"/>
      <c r="AI35" s="428"/>
      <c r="AJ35" s="428"/>
      <c r="AK35" s="429"/>
      <c r="AL35" s="154">
        <f>SUM(COUNTIFS($A$27:A35,A35))</f>
        <v>0</v>
      </c>
    </row>
    <row r="36" spans="1:38" ht="39.950000000000003" customHeight="1" x14ac:dyDescent="0.2">
      <c r="A36" s="143"/>
      <c r="B36" s="143"/>
      <c r="C36" s="139" t="str">
        <f t="shared" si="0"/>
        <v/>
      </c>
      <c r="D36" s="140" t="s">
        <v>6</v>
      </c>
      <c r="E36" s="140" t="s">
        <v>6</v>
      </c>
      <c r="F36" s="140" t="s">
        <v>6</v>
      </c>
      <c r="G36" s="198"/>
      <c r="H36" s="199"/>
      <c r="I36" s="199"/>
      <c r="J36" s="199"/>
      <c r="K36" s="199"/>
      <c r="L36" s="199"/>
      <c r="M36" s="199"/>
      <c r="N36" s="209"/>
      <c r="O36" s="199"/>
      <c r="P36" s="209"/>
      <c r="Q36" s="316" t="str">
        <f>IFERROR(IF(SUM($H36:$P36)=0,"",SUM($H36:$P36)),"")</f>
        <v/>
      </c>
      <c r="R36" s="209"/>
      <c r="S36" s="198"/>
      <c r="T36" s="199"/>
      <c r="U36" s="198"/>
      <c r="V36" s="317" t="str">
        <f t="shared" si="2"/>
        <v/>
      </c>
      <c r="W36" s="323" t="str">
        <f t="shared" si="3"/>
        <v/>
      </c>
      <c r="X36" s="433"/>
      <c r="Y36" s="428"/>
      <c r="Z36" s="428"/>
      <c r="AA36" s="428"/>
      <c r="AB36" s="428"/>
      <c r="AC36" s="428"/>
      <c r="AD36" s="428"/>
      <c r="AE36" s="428"/>
      <c r="AF36" s="428"/>
      <c r="AG36" s="428"/>
      <c r="AH36" s="428"/>
      <c r="AI36" s="428"/>
      <c r="AJ36" s="428"/>
      <c r="AK36" s="429"/>
      <c r="AL36" s="154">
        <f>SUM(COUNTIFS($A$27:A36,A36))</f>
        <v>0</v>
      </c>
    </row>
    <row r="37" spans="1:38" ht="39.950000000000003" customHeight="1" x14ac:dyDescent="0.2">
      <c r="A37" s="143"/>
      <c r="B37" s="143"/>
      <c r="C37" s="139" t="str">
        <f t="shared" si="0"/>
        <v/>
      </c>
      <c r="D37" s="140" t="s">
        <v>6</v>
      </c>
      <c r="E37" s="140" t="s">
        <v>6</v>
      </c>
      <c r="F37" s="140" t="s">
        <v>6</v>
      </c>
      <c r="G37" s="198"/>
      <c r="H37" s="199"/>
      <c r="I37" s="199"/>
      <c r="J37" s="199"/>
      <c r="K37" s="199"/>
      <c r="L37" s="199"/>
      <c r="M37" s="199"/>
      <c r="N37" s="209"/>
      <c r="O37" s="199"/>
      <c r="P37" s="209"/>
      <c r="Q37" s="316" t="str">
        <f>IFERROR(IF(SUM($H37:$P37)=0,"",SUM($H37:$P37)),"")</f>
        <v/>
      </c>
      <c r="R37" s="209"/>
      <c r="S37" s="198"/>
      <c r="T37" s="199"/>
      <c r="U37" s="198"/>
      <c r="V37" s="317" t="str">
        <f t="shared" si="2"/>
        <v/>
      </c>
      <c r="W37" s="323" t="str">
        <f t="shared" si="3"/>
        <v/>
      </c>
      <c r="X37" s="433"/>
      <c r="Y37" s="428"/>
      <c r="Z37" s="428"/>
      <c r="AA37" s="428"/>
      <c r="AB37" s="428"/>
      <c r="AC37" s="428"/>
      <c r="AD37" s="428"/>
      <c r="AE37" s="428"/>
      <c r="AF37" s="428"/>
      <c r="AG37" s="428"/>
      <c r="AH37" s="428"/>
      <c r="AI37" s="428"/>
      <c r="AJ37" s="428"/>
      <c r="AK37" s="429"/>
      <c r="AL37" s="154">
        <f>SUM(COUNTIFS($A$27:A37,A37))</f>
        <v>0</v>
      </c>
    </row>
    <row r="38" spans="1:38" ht="39.950000000000003" customHeight="1" x14ac:dyDescent="0.2">
      <c r="A38" s="143"/>
      <c r="B38" s="143"/>
      <c r="C38" s="139" t="str">
        <f t="shared" si="0"/>
        <v/>
      </c>
      <c r="D38" s="140"/>
      <c r="E38" s="140" t="s">
        <v>6</v>
      </c>
      <c r="F38" s="140" t="s">
        <v>6</v>
      </c>
      <c r="G38" s="198"/>
      <c r="H38" s="199"/>
      <c r="I38" s="199"/>
      <c r="J38" s="199"/>
      <c r="K38" s="199"/>
      <c r="L38" s="199"/>
      <c r="M38" s="199"/>
      <c r="N38" s="209"/>
      <c r="O38" s="199"/>
      <c r="P38" s="209"/>
      <c r="Q38" s="316" t="str">
        <f t="shared" si="4"/>
        <v/>
      </c>
      <c r="R38" s="209"/>
      <c r="S38" s="198"/>
      <c r="T38" s="199"/>
      <c r="U38" s="198"/>
      <c r="V38" s="317" t="str">
        <f t="shared" si="2"/>
        <v/>
      </c>
      <c r="W38" s="323" t="str">
        <f t="shared" si="3"/>
        <v/>
      </c>
      <c r="X38" s="433"/>
      <c r="Y38" s="428"/>
      <c r="Z38" s="428"/>
      <c r="AA38" s="428"/>
      <c r="AB38" s="428"/>
      <c r="AC38" s="428"/>
      <c r="AD38" s="428"/>
      <c r="AE38" s="428"/>
      <c r="AF38" s="428"/>
      <c r="AG38" s="428"/>
      <c r="AH38" s="428"/>
      <c r="AI38" s="428"/>
      <c r="AJ38" s="428"/>
      <c r="AK38" s="429"/>
      <c r="AL38" s="154">
        <f>SUM(COUNTIFS($A$27:A38,A38))</f>
        <v>0</v>
      </c>
    </row>
    <row r="39" spans="1:38" ht="39.950000000000003" customHeight="1" x14ac:dyDescent="0.2">
      <c r="A39" s="143"/>
      <c r="B39" s="143"/>
      <c r="C39" s="139" t="str">
        <f t="shared" si="0"/>
        <v/>
      </c>
      <c r="D39" s="140" t="s">
        <v>6</v>
      </c>
      <c r="E39" s="140" t="s">
        <v>6</v>
      </c>
      <c r="F39" s="140" t="s">
        <v>6</v>
      </c>
      <c r="G39" s="198"/>
      <c r="H39" s="199"/>
      <c r="I39" s="199"/>
      <c r="J39" s="199"/>
      <c r="K39" s="199"/>
      <c r="L39" s="199"/>
      <c r="M39" s="199"/>
      <c r="N39" s="209"/>
      <c r="O39" s="199"/>
      <c r="P39" s="209"/>
      <c r="Q39" s="316" t="str">
        <f t="shared" si="4"/>
        <v/>
      </c>
      <c r="R39" s="209"/>
      <c r="S39" s="198"/>
      <c r="T39" s="199"/>
      <c r="U39" s="198"/>
      <c r="V39" s="317" t="str">
        <f t="shared" si="2"/>
        <v/>
      </c>
      <c r="W39" s="323" t="str">
        <f t="shared" si="3"/>
        <v/>
      </c>
      <c r="X39" s="433"/>
      <c r="Y39" s="428"/>
      <c r="Z39" s="428"/>
      <c r="AA39" s="428"/>
      <c r="AB39" s="428"/>
      <c r="AC39" s="428"/>
      <c r="AD39" s="428"/>
      <c r="AE39" s="428"/>
      <c r="AF39" s="428"/>
      <c r="AG39" s="428"/>
      <c r="AH39" s="428"/>
      <c r="AI39" s="428"/>
      <c r="AJ39" s="428"/>
      <c r="AK39" s="429"/>
      <c r="AL39" s="154">
        <f>SUM(COUNTIFS($A$27:A39,A39))</f>
        <v>0</v>
      </c>
    </row>
    <row r="40" spans="1:38" ht="39.950000000000003" customHeight="1" x14ac:dyDescent="0.2">
      <c r="A40" s="144"/>
      <c r="B40" s="144"/>
      <c r="C40" s="141" t="str">
        <f t="shared" si="0"/>
        <v/>
      </c>
      <c r="D40" s="135" t="s">
        <v>6</v>
      </c>
      <c r="E40" s="135" t="s">
        <v>6</v>
      </c>
      <c r="F40" s="135" t="s">
        <v>6</v>
      </c>
      <c r="G40" s="200"/>
      <c r="H40" s="201"/>
      <c r="I40" s="201"/>
      <c r="J40" s="201"/>
      <c r="K40" s="201"/>
      <c r="L40" s="201"/>
      <c r="M40" s="201"/>
      <c r="N40" s="211"/>
      <c r="O40" s="201"/>
      <c r="P40" s="211"/>
      <c r="Q40" s="316" t="str">
        <f t="shared" si="4"/>
        <v/>
      </c>
      <c r="R40" s="211"/>
      <c r="S40" s="200"/>
      <c r="T40" s="201"/>
      <c r="U40" s="200"/>
      <c r="V40" s="317" t="str">
        <f t="shared" si="2"/>
        <v/>
      </c>
      <c r="W40" s="323" t="str">
        <f t="shared" si="3"/>
        <v/>
      </c>
      <c r="X40" s="433"/>
      <c r="Y40" s="428"/>
      <c r="Z40" s="428"/>
      <c r="AA40" s="428"/>
      <c r="AB40" s="428"/>
      <c r="AC40" s="428"/>
      <c r="AD40" s="428"/>
      <c r="AE40" s="428"/>
      <c r="AF40" s="428"/>
      <c r="AG40" s="428"/>
      <c r="AH40" s="428"/>
      <c r="AI40" s="428"/>
      <c r="AJ40" s="428"/>
      <c r="AK40" s="429"/>
      <c r="AL40" s="154">
        <f>SUM(COUNTIFS($A$27:A40,A40))</f>
        <v>0</v>
      </c>
    </row>
    <row r="42" spans="1:38" ht="26.25" x14ac:dyDescent="0.4">
      <c r="A42" s="162" t="s">
        <v>840</v>
      </c>
      <c r="B42" s="156"/>
      <c r="C42" s="156"/>
      <c r="D42" s="156"/>
      <c r="E42" s="156"/>
      <c r="F42" s="156"/>
      <c r="G42" s="156"/>
      <c r="H42" s="156"/>
      <c r="I42" s="156"/>
      <c r="J42" s="156"/>
      <c r="K42" s="156"/>
    </row>
    <row r="43" spans="1:38" ht="23.1" customHeight="1" x14ac:dyDescent="0.2">
      <c r="A43" s="446" t="s">
        <v>807</v>
      </c>
      <c r="B43" s="447"/>
      <c r="C43" s="447"/>
      <c r="D43" s="447"/>
      <c r="E43" s="447"/>
      <c r="F43" s="447"/>
      <c r="G43" s="447"/>
      <c r="H43" s="447"/>
      <c r="I43" s="447"/>
      <c r="J43" s="447"/>
      <c r="K43" s="447"/>
      <c r="L43" s="447"/>
      <c r="M43" s="447"/>
      <c r="N43" s="447"/>
    </row>
    <row r="44" spans="1:38" ht="90.6" customHeight="1" x14ac:dyDescent="0.2">
      <c r="A44" s="239" t="s">
        <v>698</v>
      </c>
      <c r="B44" s="240" t="s">
        <v>687</v>
      </c>
      <c r="C44" s="240" t="s">
        <v>746</v>
      </c>
      <c r="D44" s="240" t="s">
        <v>841</v>
      </c>
      <c r="E44" s="241" t="s">
        <v>808</v>
      </c>
      <c r="F44" s="448" t="s">
        <v>736</v>
      </c>
      <c r="G44" s="449"/>
      <c r="H44" s="452" t="s">
        <v>827</v>
      </c>
      <c r="I44" s="453"/>
      <c r="J44" s="453"/>
      <c r="K44" s="453"/>
      <c r="L44" s="453"/>
      <c r="M44" s="453"/>
      <c r="N44" s="454"/>
      <c r="P44" s="147"/>
      <c r="Q44" s="156"/>
      <c r="R44" s="156"/>
      <c r="S44" s="156"/>
      <c r="T44" s="156"/>
      <c r="U44" s="156"/>
      <c r="V44" s="156"/>
      <c r="W44" s="156"/>
    </row>
    <row r="45" spans="1:38" ht="41.25" customHeight="1" x14ac:dyDescent="0.2">
      <c r="A45" s="165" t="str">
        <f t="array" ref="A45">IFERROR(IF(1&lt;=AntalPost,TRIM(INDEX(Firstname,SMALL(IF(Participants="Postdoc",ROW(Participants)-ROW($A$26)+1),1)))&amp;" ","")
&amp;IF(1&lt;=AntalPost,TRIM(INDEX(Surname,SMALL(IF(Participants="Postdoc",ROW(Participants)-ROW($A$26)+1),1))),""),"")</f>
        <v/>
      </c>
      <c r="B45" s="163" t="str">
        <f t="array" ref="B45">IFERROR(IF(1&lt;=AntalPost,TRIM(INDEX(Position,SMALL(IF(Participants="Postdoc",ROW(Participants)-ROW($A$26)+1),1))),""),"")</f>
        <v/>
      </c>
      <c r="C45" s="202"/>
      <c r="D45" s="203"/>
      <c r="E45" s="204" t="str">
        <f>IFERROR(IF($C$45="","",DATEDIF(0,(((DATEDIF($C$45,Ansøgningsfrist,"d")/7)-($D$45*2))*7),"d")/365.25),"")</f>
        <v/>
      </c>
      <c r="F45" s="450"/>
      <c r="G45" s="450"/>
      <c r="H45" s="455"/>
      <c r="I45" s="455"/>
      <c r="J45" s="455"/>
      <c r="K45" s="455"/>
      <c r="L45" s="455"/>
      <c r="M45" s="455"/>
      <c r="N45" s="455"/>
      <c r="P45" s="164"/>
      <c r="Q45" s="156"/>
      <c r="R45" s="156"/>
      <c r="S45" s="156"/>
      <c r="T45" s="156"/>
      <c r="U45" s="156"/>
      <c r="V45" s="156"/>
      <c r="W45" s="156"/>
    </row>
    <row r="46" spans="1:38" ht="41.25" customHeight="1" x14ac:dyDescent="0.2">
      <c r="A46" s="165" t="str">
        <f t="array" ref="A46">IFERROR(IF(2&lt;=AntalPost,TRIM(INDEX(Firstname,SMALL(IF(Participants="Postdoc",ROW(Participants)-ROW($A$26)+1),2)))&amp;" ","")
&amp;IF(2&lt;=AntalPost,TRIM(INDEX(Surname,SMALL(IF(Participants="Postdoc",ROW(Participants)-ROW($A$26)+1),2))),""),"")</f>
        <v/>
      </c>
      <c r="B46" s="166" t="str">
        <f t="array" ref="B46">IFERROR(IF(2&lt;=AntalPost,TRIM(INDEX(Position,SMALL(IF(Participants="Postdoc",ROW(Participants)-ROW($A$26)+1),2))),""),"")</f>
        <v/>
      </c>
      <c r="C46" s="205"/>
      <c r="D46" s="206"/>
      <c r="E46" s="207" t="str">
        <f>IFERROR(IF($C$46="","",DATEDIF(0,(((DATEDIF($C$46,Ansøgningsfrist,"d")/7)-($D$46*2))*7),"d")/365.25),"")</f>
        <v/>
      </c>
      <c r="F46" s="451"/>
      <c r="G46" s="451"/>
      <c r="H46" s="456"/>
      <c r="I46" s="456"/>
      <c r="J46" s="456"/>
      <c r="K46" s="456"/>
      <c r="L46" s="456"/>
      <c r="M46" s="456"/>
      <c r="N46" s="456"/>
      <c r="P46" s="156"/>
      <c r="Q46" s="156"/>
      <c r="R46" s="156"/>
      <c r="S46" s="156"/>
      <c r="T46" s="156"/>
      <c r="U46" s="156"/>
      <c r="V46" s="156"/>
      <c r="W46" s="156"/>
    </row>
    <row r="47" spans="1:38" ht="41.25" customHeight="1" x14ac:dyDescent="0.2">
      <c r="A47" s="165" t="str">
        <f t="array" ref="A47">IFERROR(IF(3&lt;=AntalPost,TRIM(INDEX(Firstname,SMALL(IF(Participants="Postdoc",ROW(Participants)-ROW($A$26)+1),3)))&amp;" ","")
&amp;IF(3&lt;=AntalPost,TRIM(INDEX(Surname,SMALL(IF(Participants="Postdoc",ROW(Participants)-ROW($A$26)+1),3))),""),"")</f>
        <v/>
      </c>
      <c r="B47" s="166" t="str">
        <f t="array" ref="B47">IFERROR(IF(3&lt;=AntalPost,TRIM(INDEX(Position,SMALL(IF(Participants="Postdoc",ROW(Participants)-ROW($A$26)+1),3))),""),"")</f>
        <v/>
      </c>
      <c r="C47" s="202"/>
      <c r="D47" s="206"/>
      <c r="E47" s="207" t="str">
        <f>IFERROR(IF($C$47="","",DATEDIF(0,(((DATEDIF($C$47,Ansøgningsfrist,"d")/7)-($D$47*2))*7),"d")/365.25),"")</f>
        <v/>
      </c>
      <c r="F47" s="451"/>
      <c r="G47" s="451"/>
      <c r="H47" s="456"/>
      <c r="I47" s="456"/>
      <c r="J47" s="456"/>
      <c r="K47" s="456"/>
      <c r="L47" s="456"/>
      <c r="M47" s="456"/>
      <c r="N47" s="456"/>
      <c r="P47" s="156"/>
      <c r="Q47" s="156"/>
      <c r="R47" s="156"/>
      <c r="S47" s="156"/>
      <c r="T47" s="156"/>
      <c r="U47" s="156"/>
      <c r="V47" s="156"/>
      <c r="W47" s="156"/>
    </row>
    <row r="48" spans="1:38" ht="41.25" customHeight="1" x14ac:dyDescent="0.2">
      <c r="A48" s="165" t="str">
        <f t="array" ref="A48">IFERROR(IF(4&lt;=AntalPost,TRIM(INDEX(Firstname,SMALL(IF(Participants="Postdoc",ROW(Participants)-ROW($A$26)+1),4)))&amp;" ","")
&amp;IF(4&lt;=AntalPost,TRIM(INDEX(Surname,SMALL(IF(Participants="Postdoc",ROW(Participants)-ROW($A$26)+1),4))),""),"")</f>
        <v/>
      </c>
      <c r="B48" s="166" t="str">
        <f t="array" ref="B48">IFERROR(IF(4&lt;=AntalPost,TRIM(INDEX(Position,SMALL(IF(Participants="Postdoc",ROW(Participants)-ROW($A$26)+1),4))),""),"")</f>
        <v/>
      </c>
      <c r="C48" s="205"/>
      <c r="D48" s="206"/>
      <c r="E48" s="207" t="str">
        <f>IFERROR(IF($C$48="","",DATEDIF(0,(((DATEDIF($C$48,Ansøgningsfrist,"d")/7)-($D$48*2))*7),"d")/365.25),"")</f>
        <v/>
      </c>
      <c r="F48" s="451"/>
      <c r="G48" s="451"/>
      <c r="H48" s="456"/>
      <c r="I48" s="456"/>
      <c r="J48" s="456"/>
      <c r="K48" s="456"/>
      <c r="L48" s="456"/>
      <c r="M48" s="456"/>
      <c r="N48" s="456"/>
      <c r="P48" s="156"/>
      <c r="Q48" s="156"/>
      <c r="R48" s="156"/>
      <c r="S48" s="156"/>
      <c r="T48" s="156"/>
      <c r="U48" s="156"/>
      <c r="V48" s="156"/>
      <c r="W48" s="156"/>
    </row>
    <row r="49" spans="1:28" ht="41.25" customHeight="1" x14ac:dyDescent="0.2">
      <c r="A49" s="165" t="str">
        <f t="array" ref="A49">IFERROR(IF(5&lt;=AntalPost,TRIM(INDEX(Firstname,SMALL(IF(Participants="Postdoc",ROW(Participants)-ROW($A$26)+1),5)))&amp;" ","")
&amp;IF(5&lt;=AntalPost,TRIM(INDEX(Surname,SMALL(IF(Participants="Postdoc",ROW(Participants)-ROW($A$26)+1),5))),""),"")</f>
        <v/>
      </c>
      <c r="B49" s="166" t="str">
        <f t="array" ref="B49">IFERROR(IF(5&lt;=AntalPost,TRIM(INDEX(Position,SMALL(IF(Participants="Postdoc",ROW(Participants)-ROW($A$26)+1),5))),""),"")</f>
        <v/>
      </c>
      <c r="C49" s="205"/>
      <c r="D49" s="206"/>
      <c r="E49" s="207" t="str">
        <f>IF($C$49="","",DATEDIF(0,(((DATEDIF($C$49,Ansøgningsfrist,"d")/7)-($D$49*2))*7),"d")/365.25)</f>
        <v/>
      </c>
      <c r="F49" s="451"/>
      <c r="G49" s="451"/>
      <c r="H49" s="457"/>
      <c r="I49" s="457"/>
      <c r="J49" s="457"/>
      <c r="K49" s="457"/>
      <c r="L49" s="457"/>
      <c r="M49" s="457"/>
      <c r="N49" s="457"/>
      <c r="P49" s="156"/>
      <c r="Q49" s="156"/>
      <c r="R49" s="156"/>
      <c r="S49" s="156"/>
      <c r="T49" s="156"/>
      <c r="U49" s="156"/>
      <c r="V49" s="156"/>
      <c r="W49" s="156"/>
    </row>
    <row r="50" spans="1:28" x14ac:dyDescent="0.2">
      <c r="A50" s="154" t="s">
        <v>863</v>
      </c>
      <c r="P50" s="156"/>
      <c r="Q50" s="156"/>
      <c r="R50" s="156"/>
      <c r="S50" s="156"/>
      <c r="T50" s="156"/>
      <c r="U50" s="156"/>
      <c r="V50" s="156"/>
      <c r="W50" s="156"/>
    </row>
    <row r="51" spans="1:28" ht="127.5" customHeight="1" x14ac:dyDescent="0.2"/>
    <row r="52" spans="1:28" ht="39.75" customHeight="1" x14ac:dyDescent="0.4">
      <c r="A52" s="167" t="s">
        <v>745</v>
      </c>
      <c r="D52" s="501" t="s">
        <v>842</v>
      </c>
      <c r="E52" s="501"/>
      <c r="F52" s="501"/>
      <c r="G52" s="501"/>
      <c r="H52" s="501"/>
      <c r="I52" s="501"/>
      <c r="J52" s="501"/>
      <c r="K52" s="502"/>
      <c r="L52" s="503"/>
      <c r="M52" s="413" t="s">
        <v>823</v>
      </c>
      <c r="N52" s="414" t="s">
        <v>15</v>
      </c>
      <c r="O52" s="415" t="s">
        <v>16</v>
      </c>
      <c r="P52" s="327"/>
    </row>
    <row r="53" spans="1:28" ht="40.5" customHeight="1" x14ac:dyDescent="0.2">
      <c r="A53" s="127" t="s">
        <v>781</v>
      </c>
      <c r="B53" s="128" t="s">
        <v>782</v>
      </c>
      <c r="C53" s="128" t="s">
        <v>732</v>
      </c>
      <c r="D53" s="387">
        <f>FirstYear</f>
        <v>2021</v>
      </c>
      <c r="E53" s="387">
        <f>FirstYear+1</f>
        <v>2022</v>
      </c>
      <c r="F53" s="387">
        <f>FirstYear+2</f>
        <v>2023</v>
      </c>
      <c r="G53" s="387">
        <f>FirstYear+3</f>
        <v>2024</v>
      </c>
      <c r="H53" s="387">
        <f>FirstYear+4</f>
        <v>2025</v>
      </c>
      <c r="I53" s="387">
        <f>FirstYear+5</f>
        <v>2026</v>
      </c>
      <c r="J53" s="412">
        <f>FirstYear+6</f>
        <v>2027</v>
      </c>
      <c r="K53" s="387">
        <f>FirstYear+7</f>
        <v>2028</v>
      </c>
      <c r="L53" s="387">
        <f>FirstYear+8</f>
        <v>2029</v>
      </c>
      <c r="M53" s="268" t="s">
        <v>843</v>
      </c>
      <c r="N53" s="269" t="s">
        <v>14</v>
      </c>
      <c r="O53" s="270" t="s">
        <v>14</v>
      </c>
      <c r="P53" s="128" t="s">
        <v>4</v>
      </c>
      <c r="Q53" s="504" t="s">
        <v>743</v>
      </c>
      <c r="R53" s="505"/>
      <c r="S53" s="505"/>
      <c r="T53" s="505"/>
      <c r="U53" s="505"/>
      <c r="V53" s="406"/>
      <c r="W53" s="406"/>
      <c r="X53" s="406"/>
      <c r="Y53" s="406"/>
      <c r="Z53" s="406"/>
      <c r="AA53" s="406"/>
      <c r="AB53" s="407"/>
    </row>
    <row r="54" spans="1:28" ht="39.950000000000003" customHeight="1" x14ac:dyDescent="0.2">
      <c r="A54" s="168"/>
      <c r="B54" s="168"/>
      <c r="C54" s="169" t="str">
        <f t="shared" ref="C54:C63" si="5">IFERROR(IF(HLOOKUP($B54, InsitutionT, 2, FALSE)="","",HLOOKUP($B54, InsitutionT, 2, FALSE)), "")</f>
        <v/>
      </c>
      <c r="D54" s="208"/>
      <c r="E54" s="208"/>
      <c r="F54" s="208"/>
      <c r="G54" s="208"/>
      <c r="H54" s="208"/>
      <c r="I54" s="208"/>
      <c r="J54" s="208"/>
      <c r="K54" s="208"/>
      <c r="L54" s="208"/>
      <c r="M54" s="314" t="str">
        <f>IFERROR(IF(SUM($D54:$L54)=0,"",SUM($D54:$L54)),"")</f>
        <v/>
      </c>
      <c r="N54" s="197"/>
      <c r="O54" s="208"/>
      <c r="P54" s="314" t="str">
        <f t="shared" ref="P54:P63" si="6">IFERROR(IF(SUM($M54:$O54)=0, "", SUM($M54:$O54)),"")</f>
        <v/>
      </c>
      <c r="Q54" s="430"/>
      <c r="R54" s="431"/>
      <c r="S54" s="431"/>
      <c r="T54" s="431"/>
      <c r="U54" s="431"/>
      <c r="V54" s="431"/>
      <c r="W54" s="431"/>
      <c r="X54" s="431"/>
      <c r="Y54" s="431"/>
      <c r="Z54" s="431"/>
      <c r="AA54" s="431"/>
      <c r="AB54" s="432"/>
    </row>
    <row r="55" spans="1:28" ht="39.950000000000003" customHeight="1" x14ac:dyDescent="0.2">
      <c r="A55" s="170"/>
      <c r="B55" s="170"/>
      <c r="C55" s="139" t="str">
        <f t="shared" si="5"/>
        <v/>
      </c>
      <c r="D55" s="209"/>
      <c r="E55" s="209"/>
      <c r="F55" s="209"/>
      <c r="G55" s="209"/>
      <c r="H55" s="209"/>
      <c r="I55" s="209"/>
      <c r="J55" s="210"/>
      <c r="K55" s="209"/>
      <c r="L55" s="209"/>
      <c r="M55" s="314" t="str">
        <f t="shared" ref="M55:M63" si="7">IFERROR(IF(SUM($D55:$L55)=0,"",SUM($D55:$L55)),"")</f>
        <v/>
      </c>
      <c r="N55" s="199"/>
      <c r="O55" s="209"/>
      <c r="P55" s="315" t="str">
        <f t="shared" si="6"/>
        <v/>
      </c>
      <c r="Q55" s="427"/>
      <c r="R55" s="428"/>
      <c r="S55" s="428"/>
      <c r="T55" s="428"/>
      <c r="U55" s="428"/>
      <c r="V55" s="428"/>
      <c r="W55" s="428"/>
      <c r="X55" s="428"/>
      <c r="Y55" s="428"/>
      <c r="Z55" s="428"/>
      <c r="AA55" s="428"/>
      <c r="AB55" s="429"/>
    </row>
    <row r="56" spans="1:28" ht="39.950000000000003" customHeight="1" x14ac:dyDescent="0.2">
      <c r="A56" s="170"/>
      <c r="B56" s="170"/>
      <c r="C56" s="139" t="str">
        <f t="shared" si="5"/>
        <v/>
      </c>
      <c r="D56" s="210"/>
      <c r="E56" s="210"/>
      <c r="F56" s="210"/>
      <c r="G56" s="210"/>
      <c r="H56" s="210"/>
      <c r="I56" s="210"/>
      <c r="J56" s="210"/>
      <c r="K56" s="210"/>
      <c r="L56" s="210"/>
      <c r="M56" s="314" t="str">
        <f t="shared" si="7"/>
        <v/>
      </c>
      <c r="N56" s="199"/>
      <c r="O56" s="210"/>
      <c r="P56" s="315" t="str">
        <f t="shared" si="6"/>
        <v/>
      </c>
      <c r="Q56" s="427"/>
      <c r="R56" s="428"/>
      <c r="S56" s="428"/>
      <c r="T56" s="428"/>
      <c r="U56" s="428"/>
      <c r="V56" s="428"/>
      <c r="W56" s="428"/>
      <c r="X56" s="428"/>
      <c r="Y56" s="428"/>
      <c r="Z56" s="428"/>
      <c r="AA56" s="428"/>
      <c r="AB56" s="429"/>
    </row>
    <row r="57" spans="1:28" ht="39.950000000000003" customHeight="1" x14ac:dyDescent="0.2">
      <c r="A57" s="170"/>
      <c r="B57" s="170"/>
      <c r="C57" s="139" t="str">
        <f t="shared" si="5"/>
        <v/>
      </c>
      <c r="D57" s="209"/>
      <c r="E57" s="209"/>
      <c r="F57" s="209"/>
      <c r="G57" s="209"/>
      <c r="H57" s="209"/>
      <c r="I57" s="209"/>
      <c r="J57" s="210"/>
      <c r="K57" s="209"/>
      <c r="L57" s="209"/>
      <c r="M57" s="314" t="str">
        <f t="shared" si="7"/>
        <v/>
      </c>
      <c r="N57" s="199"/>
      <c r="O57" s="209"/>
      <c r="P57" s="315" t="str">
        <f t="shared" si="6"/>
        <v/>
      </c>
      <c r="Q57" s="427"/>
      <c r="R57" s="428"/>
      <c r="S57" s="428"/>
      <c r="T57" s="428"/>
      <c r="U57" s="428"/>
      <c r="V57" s="428"/>
      <c r="W57" s="428"/>
      <c r="X57" s="428"/>
      <c r="Y57" s="428"/>
      <c r="Z57" s="428"/>
      <c r="AA57" s="428"/>
      <c r="AB57" s="429"/>
    </row>
    <row r="58" spans="1:28" ht="39.950000000000003" customHeight="1" x14ac:dyDescent="0.2">
      <c r="A58" s="170"/>
      <c r="B58" s="170"/>
      <c r="C58" s="139" t="str">
        <f t="shared" si="5"/>
        <v/>
      </c>
      <c r="D58" s="210"/>
      <c r="E58" s="210"/>
      <c r="F58" s="210"/>
      <c r="G58" s="210"/>
      <c r="H58" s="210"/>
      <c r="I58" s="210"/>
      <c r="J58" s="210"/>
      <c r="K58" s="210"/>
      <c r="L58" s="210"/>
      <c r="M58" s="314" t="str">
        <f t="shared" si="7"/>
        <v/>
      </c>
      <c r="N58" s="199"/>
      <c r="O58" s="210"/>
      <c r="P58" s="315" t="str">
        <f t="shared" si="6"/>
        <v/>
      </c>
      <c r="Q58" s="427"/>
      <c r="R58" s="428"/>
      <c r="S58" s="428"/>
      <c r="T58" s="428"/>
      <c r="U58" s="428"/>
      <c r="V58" s="428"/>
      <c r="W58" s="428"/>
      <c r="X58" s="428"/>
      <c r="Y58" s="428"/>
      <c r="Z58" s="428"/>
      <c r="AA58" s="428"/>
      <c r="AB58" s="429"/>
    </row>
    <row r="59" spans="1:28" ht="39.950000000000003" customHeight="1" x14ac:dyDescent="0.2">
      <c r="A59" s="170"/>
      <c r="B59" s="170"/>
      <c r="C59" s="139" t="str">
        <f t="shared" si="5"/>
        <v/>
      </c>
      <c r="D59" s="209"/>
      <c r="E59" s="209"/>
      <c r="F59" s="209"/>
      <c r="G59" s="209"/>
      <c r="H59" s="209"/>
      <c r="I59" s="209"/>
      <c r="J59" s="210"/>
      <c r="K59" s="209"/>
      <c r="L59" s="209"/>
      <c r="M59" s="314" t="str">
        <f>IFERROR(IF(SUM($D59:$L59)=0,"",SUM($D59:$L59)),"")</f>
        <v/>
      </c>
      <c r="N59" s="199"/>
      <c r="O59" s="209"/>
      <c r="P59" s="315" t="str">
        <f t="shared" si="6"/>
        <v/>
      </c>
      <c r="Q59" s="427"/>
      <c r="R59" s="428"/>
      <c r="S59" s="428"/>
      <c r="T59" s="428"/>
      <c r="U59" s="428"/>
      <c r="V59" s="428"/>
      <c r="W59" s="428"/>
      <c r="X59" s="428"/>
      <c r="Y59" s="428"/>
      <c r="Z59" s="428"/>
      <c r="AA59" s="428"/>
      <c r="AB59" s="429"/>
    </row>
    <row r="60" spans="1:28" ht="39.950000000000003" customHeight="1" x14ac:dyDescent="0.2">
      <c r="A60" s="170"/>
      <c r="B60" s="170"/>
      <c r="C60" s="139" t="str">
        <f t="shared" si="5"/>
        <v/>
      </c>
      <c r="D60" s="210"/>
      <c r="E60" s="210"/>
      <c r="F60" s="210"/>
      <c r="G60" s="210"/>
      <c r="H60" s="210"/>
      <c r="I60" s="210"/>
      <c r="J60" s="210"/>
      <c r="K60" s="210"/>
      <c r="L60" s="210"/>
      <c r="M60" s="314" t="str">
        <f t="shared" si="7"/>
        <v/>
      </c>
      <c r="N60" s="199"/>
      <c r="O60" s="210"/>
      <c r="P60" s="315" t="str">
        <f t="shared" si="6"/>
        <v/>
      </c>
      <c r="Q60" s="427"/>
      <c r="R60" s="428"/>
      <c r="S60" s="428"/>
      <c r="T60" s="428"/>
      <c r="U60" s="428"/>
      <c r="V60" s="428"/>
      <c r="W60" s="428"/>
      <c r="X60" s="428"/>
      <c r="Y60" s="428"/>
      <c r="Z60" s="428"/>
      <c r="AA60" s="428"/>
      <c r="AB60" s="429"/>
    </row>
    <row r="61" spans="1:28" ht="39.950000000000003" customHeight="1" x14ac:dyDescent="0.2">
      <c r="A61" s="170"/>
      <c r="B61" s="170"/>
      <c r="C61" s="139" t="str">
        <f t="shared" si="5"/>
        <v/>
      </c>
      <c r="D61" s="209"/>
      <c r="E61" s="209"/>
      <c r="F61" s="209"/>
      <c r="G61" s="209"/>
      <c r="H61" s="209"/>
      <c r="I61" s="209"/>
      <c r="J61" s="210"/>
      <c r="K61" s="209"/>
      <c r="L61" s="209"/>
      <c r="M61" s="314" t="str">
        <f t="shared" si="7"/>
        <v/>
      </c>
      <c r="N61" s="199"/>
      <c r="O61" s="209"/>
      <c r="P61" s="315" t="str">
        <f t="shared" si="6"/>
        <v/>
      </c>
      <c r="Q61" s="427"/>
      <c r="R61" s="428"/>
      <c r="S61" s="428"/>
      <c r="T61" s="428"/>
      <c r="U61" s="428"/>
      <c r="V61" s="428"/>
      <c r="W61" s="428"/>
      <c r="X61" s="428"/>
      <c r="Y61" s="428"/>
      <c r="Z61" s="428"/>
      <c r="AA61" s="428"/>
      <c r="AB61" s="429"/>
    </row>
    <row r="62" spans="1:28" ht="39.950000000000003" customHeight="1" x14ac:dyDescent="0.2">
      <c r="A62" s="170"/>
      <c r="B62" s="170"/>
      <c r="C62" s="139" t="str">
        <f t="shared" si="5"/>
        <v/>
      </c>
      <c r="D62" s="210"/>
      <c r="E62" s="210"/>
      <c r="F62" s="210"/>
      <c r="G62" s="210"/>
      <c r="H62" s="210"/>
      <c r="I62" s="210"/>
      <c r="J62" s="210"/>
      <c r="K62" s="210"/>
      <c r="L62" s="210"/>
      <c r="M62" s="314" t="str">
        <f t="shared" si="7"/>
        <v/>
      </c>
      <c r="N62" s="199"/>
      <c r="O62" s="210"/>
      <c r="P62" s="315" t="str">
        <f t="shared" si="6"/>
        <v/>
      </c>
      <c r="Q62" s="427"/>
      <c r="R62" s="428"/>
      <c r="S62" s="428"/>
      <c r="T62" s="428"/>
      <c r="U62" s="428"/>
      <c r="V62" s="428"/>
      <c r="W62" s="428"/>
      <c r="X62" s="428"/>
      <c r="Y62" s="428"/>
      <c r="Z62" s="428"/>
      <c r="AA62" s="428"/>
      <c r="AB62" s="429"/>
    </row>
    <row r="63" spans="1:28" ht="39.950000000000003" customHeight="1" x14ac:dyDescent="0.2">
      <c r="A63" s="171"/>
      <c r="B63" s="171"/>
      <c r="C63" s="141" t="str">
        <f t="shared" si="5"/>
        <v/>
      </c>
      <c r="D63" s="211"/>
      <c r="E63" s="211"/>
      <c r="F63" s="211"/>
      <c r="G63" s="211"/>
      <c r="H63" s="211"/>
      <c r="I63" s="211"/>
      <c r="J63" s="328"/>
      <c r="K63" s="211"/>
      <c r="L63" s="211"/>
      <c r="M63" s="314" t="str">
        <f t="shared" si="7"/>
        <v/>
      </c>
      <c r="N63" s="201"/>
      <c r="O63" s="211"/>
      <c r="P63" s="315" t="str">
        <f t="shared" si="6"/>
        <v/>
      </c>
      <c r="Q63" s="427"/>
      <c r="R63" s="428"/>
      <c r="S63" s="428"/>
      <c r="T63" s="428"/>
      <c r="U63" s="428"/>
      <c r="V63" s="428"/>
      <c r="W63" s="428"/>
      <c r="X63" s="428"/>
      <c r="Y63" s="428"/>
      <c r="Z63" s="428"/>
      <c r="AA63" s="428"/>
      <c r="AB63" s="429"/>
    </row>
    <row r="64" spans="1:28" ht="27" customHeight="1" x14ac:dyDescent="0.2">
      <c r="A64" s="78"/>
      <c r="B64" s="78"/>
      <c r="C64" s="172"/>
      <c r="D64" s="172"/>
      <c r="E64" s="172"/>
      <c r="F64" s="172"/>
      <c r="G64" s="172"/>
      <c r="H64" s="172"/>
      <c r="I64" s="172"/>
      <c r="J64" s="172"/>
      <c r="K64" s="172"/>
      <c r="L64" s="172"/>
      <c r="M64" s="78"/>
      <c r="N64" s="78"/>
      <c r="O64" s="78"/>
      <c r="P64" s="78"/>
      <c r="Q64" s="78"/>
      <c r="R64" s="78"/>
      <c r="S64" s="78"/>
      <c r="T64" s="78"/>
      <c r="U64" s="78"/>
      <c r="V64" s="78"/>
      <c r="W64" s="78"/>
    </row>
    <row r="65" spans="1:26" ht="13.5" thickBot="1" x14ac:dyDescent="0.25">
      <c r="A65" s="173"/>
      <c r="B65" s="78"/>
      <c r="C65" s="174"/>
      <c r="D65" s="172"/>
      <c r="E65" s="172"/>
      <c r="F65" s="172"/>
      <c r="G65" s="78"/>
      <c r="H65" s="78"/>
      <c r="I65" s="78"/>
      <c r="J65" s="78"/>
      <c r="K65" s="78"/>
      <c r="L65" s="78"/>
      <c r="M65" s="78"/>
    </row>
    <row r="66" spans="1:26" ht="29.25" customHeight="1" thickBot="1" x14ac:dyDescent="0.25">
      <c r="A66" s="130" t="s">
        <v>825</v>
      </c>
      <c r="B66" s="388" t="s">
        <v>688</v>
      </c>
      <c r="C66" s="389">
        <f>FirstYear</f>
        <v>2021</v>
      </c>
      <c r="D66" s="389">
        <f>FirstYear+1</f>
        <v>2022</v>
      </c>
      <c r="E66" s="389">
        <f>FirstYear+2</f>
        <v>2023</v>
      </c>
      <c r="F66" s="389">
        <f>FirstYear+3</f>
        <v>2024</v>
      </c>
      <c r="G66" s="389">
        <f>FirstYear+4</f>
        <v>2025</v>
      </c>
      <c r="H66" s="390">
        <f>FirstYear+5</f>
        <v>2026</v>
      </c>
      <c r="I66" s="390">
        <f>FirstYear+6</f>
        <v>2027</v>
      </c>
      <c r="J66" s="390">
        <f>FirstYear+7</f>
        <v>2028</v>
      </c>
      <c r="K66" s="390">
        <f>FirstYear+8</f>
        <v>2029</v>
      </c>
      <c r="L66" s="394" t="s">
        <v>15</v>
      </c>
      <c r="M66" s="396" t="s">
        <v>689</v>
      </c>
    </row>
    <row r="67" spans="1:26" ht="26.25" customHeight="1" x14ac:dyDescent="0.2">
      <c r="A67" s="175" t="s">
        <v>783</v>
      </c>
      <c r="B67" s="380" t="str">
        <f>IFERROR(IF(SUM($C$67:$K$67)=0, "", SUM($C$67:$K$67)),"")</f>
        <v/>
      </c>
      <c r="C67" s="366">
        <f>IFERROR(ROUND('Institution Tables'!C$3,0),"")</f>
        <v>0</v>
      </c>
      <c r="D67" s="365">
        <f>IFERROR(ROUND('Institution Tables'!D$3,0),"")</f>
        <v>0</v>
      </c>
      <c r="E67" s="365">
        <f>IFERROR(ROUND('Institution Tables'!E$3,0),"")</f>
        <v>0</v>
      </c>
      <c r="F67" s="365">
        <f>IFERROR(ROUND('Institution Tables'!F$3,0),"")</f>
        <v>0</v>
      </c>
      <c r="G67" s="365">
        <f>IFERROR(ROUND('Institution Tables'!G$3,0),"")</f>
        <v>0</v>
      </c>
      <c r="H67" s="365">
        <f>IFERROR(ROUND('Institution Tables'!H$3,0),"")</f>
        <v>0</v>
      </c>
      <c r="I67" s="365">
        <f>IFERROR(ROUND('Institution Tables'!I$3,0),"")</f>
        <v>0</v>
      </c>
      <c r="J67" s="365">
        <f>IFERROR(ROUND('Institution Tables'!J$3,0),"")</f>
        <v>0</v>
      </c>
      <c r="K67" s="365">
        <f>IFERROR(ROUND('Institution Tables'!K$3,0),"")</f>
        <v>0</v>
      </c>
      <c r="L67" s="393">
        <f>IFERROR(ROUND('Institution Tables'!L$3,0),"")</f>
        <v>0</v>
      </c>
      <c r="M67" s="395">
        <f>IFERROR(ROUND('Institution Tables'!M$3,0),"")</f>
        <v>0</v>
      </c>
    </row>
    <row r="68" spans="1:26" ht="26.25" customHeight="1" x14ac:dyDescent="0.2">
      <c r="A68" s="176" t="s">
        <v>849</v>
      </c>
      <c r="B68" s="381" t="str">
        <f>IFERROR(IF(SUM($C$68:$K$68)=0, "", SUM($C$68:$K$68)),"")</f>
        <v/>
      </c>
      <c r="C68" s="368">
        <f>IFERROR(ROUND(SUM('Institution Tables'!C4,'Institution Tables'!Q4,'Institution Tables'!C18,'Institution Tables'!Q18,'Institution Tables'!C32,'Institution Tables'!Q32,'Institution Tables'!C46,'Institution Tables'!Q46,'Institution Tables'!C60,'Institution Tables'!Q60,'Institution Tables'!C74),0),"")</f>
        <v>0</v>
      </c>
      <c r="D68" s="367">
        <f>IFERROR(ROUND(SUM('Institution Tables'!D4,'Institution Tables'!R4,'Institution Tables'!D18,'Institution Tables'!R18,'Institution Tables'!D32,'Institution Tables'!R32,'Institution Tables'!D46,'Institution Tables'!R46,'Institution Tables'!D60,'Institution Tables'!R60,'Institution Tables'!D74),0),"")</f>
        <v>0</v>
      </c>
      <c r="E68" s="367">
        <f>IFERROR(ROUND(SUM('Institution Tables'!E4,'Institution Tables'!S4,'Institution Tables'!E18,'Institution Tables'!S18,'Institution Tables'!E32,'Institution Tables'!S32,'Institution Tables'!E46,'Institution Tables'!S46,'Institution Tables'!E60,'Institution Tables'!S60,'Institution Tables'!E74),0),"")</f>
        <v>0</v>
      </c>
      <c r="F68" s="367">
        <f>IFERROR(ROUND(SUM('Institution Tables'!F4,'Institution Tables'!T4,'Institution Tables'!F18,'Institution Tables'!T18,'Institution Tables'!F32,'Institution Tables'!T32,'Institution Tables'!F46,'Institution Tables'!T46,'Institution Tables'!F60,'Institution Tables'!T60,'Institution Tables'!F74),0),"")</f>
        <v>0</v>
      </c>
      <c r="G68" s="367">
        <f>IFERROR(ROUND(SUM('Institution Tables'!G4,'Institution Tables'!U4,'Institution Tables'!G18,'Institution Tables'!U18,'Institution Tables'!G32,'Institution Tables'!U32,'Institution Tables'!G46,'Institution Tables'!U46,'Institution Tables'!G60,'Institution Tables'!U60,'Institution Tables'!G74),0),"")</f>
        <v>0</v>
      </c>
      <c r="H68" s="367">
        <f>IFERROR(ROUND(SUM('Institution Tables'!H4,'Institution Tables'!V4,'Institution Tables'!H18,'Institution Tables'!V18,'Institution Tables'!H32,'Institution Tables'!V32,'Institution Tables'!H46,'Institution Tables'!V46,'Institution Tables'!H60,'Institution Tables'!V60,'Institution Tables'!H74),0),"")</f>
        <v>0</v>
      </c>
      <c r="I68" s="367">
        <f>IFERROR(ROUND(SUM('Institution Tables'!I4,'Institution Tables'!W4,'Institution Tables'!I18,'Institution Tables'!W18,'Institution Tables'!I32,'Institution Tables'!W32,'Institution Tables'!I46,'Institution Tables'!W46,'Institution Tables'!I60,'Institution Tables'!W60,'Institution Tables'!I74),0),"")</f>
        <v>0</v>
      </c>
      <c r="J68" s="367">
        <f>IFERROR(ROUND(SUM('Institution Tables'!J4,'Institution Tables'!X4,'Institution Tables'!J18,'Institution Tables'!X18,'Institution Tables'!J32,'Institution Tables'!X32,'Institution Tables'!J46,'Institution Tables'!X46,'Institution Tables'!J60,'Institution Tables'!X60,'Institution Tables'!J74),0),"")</f>
        <v>0</v>
      </c>
      <c r="K68" s="367">
        <f>IFERROR(ROUND(SUM('Institution Tables'!K4,'Institution Tables'!Y4,'Institution Tables'!K18,'Institution Tables'!Y18,'Institution Tables'!K32,'Institution Tables'!Y32,'Institution Tables'!K46,'Institution Tables'!Y46,'Institution Tables'!K60,'Institution Tables'!Y60,'Institution Tables'!K74),0),"")</f>
        <v>0</v>
      </c>
      <c r="L68" s="370">
        <f>IFERROR(ROUND(SUM('Institution Tables'!L4,'Institution Tables'!Z4,'Institution Tables'!L18,'Institution Tables'!Z18,'Institution Tables'!L32,'Institution Tables'!Z32,'Institution Tables'!L46,'Institution Tables'!Z46,'Institution Tables'!L60,'Institution Tables'!Z60,'Institution Tables'!L74),0),"")</f>
        <v>0</v>
      </c>
      <c r="M68" s="372">
        <f>IFERROR(ROUND(SUM('Institution Tables'!M4,'Institution Tables'!AA4,'Institution Tables'!M18,'Institution Tables'!AA18,'Institution Tables'!M32,'Institution Tables'!AA32,'Institution Tables'!M46,'Institution Tables'!AA46,'Institution Tables'!M60,'Institution Tables'!AA60,'Institution Tables'!M74),0),"")</f>
        <v>0</v>
      </c>
    </row>
    <row r="69" spans="1:26" ht="25.5" customHeight="1" x14ac:dyDescent="0.2">
      <c r="A69" s="176" t="s">
        <v>784</v>
      </c>
      <c r="B69" s="382" t="str">
        <f>IFERROR(IF(SUM($C$69:$K$69)=0, "", SUM($C$69:$K$69)),"")</f>
        <v/>
      </c>
      <c r="C69" s="368">
        <f>IFERROR(ROUND(SUM('Institution Tables'!C5,'Institution Tables'!Q5,'Institution Tables'!C19,'Institution Tables'!Q19,'Institution Tables'!C33,'Institution Tables'!Q33,'Institution Tables'!C47,'Institution Tables'!Q47,'Institution Tables'!C61,'Institution Tables'!Q61,'Institution Tables'!C75),0),"")</f>
        <v>0</v>
      </c>
      <c r="D69" s="367">
        <f>IFERROR(ROUND(SUM('Institution Tables'!D5,'Institution Tables'!R5,'Institution Tables'!D19,'Institution Tables'!R19,'Institution Tables'!D33,'Institution Tables'!R33,'Institution Tables'!D47,'Institution Tables'!R47,'Institution Tables'!D61,'Institution Tables'!R61,'Institution Tables'!D75),0),"")</f>
        <v>0</v>
      </c>
      <c r="E69" s="367">
        <f>IFERROR(ROUND(SUM('Institution Tables'!E5,'Institution Tables'!S5,'Institution Tables'!E19,'Institution Tables'!S19,'Institution Tables'!E33,'Institution Tables'!S33,'Institution Tables'!E47,'Institution Tables'!S47,'Institution Tables'!E61,'Institution Tables'!S61,'Institution Tables'!E75),0),"")</f>
        <v>0</v>
      </c>
      <c r="F69" s="367">
        <f>IFERROR(ROUND(SUM('Institution Tables'!F5,'Institution Tables'!T5,'Institution Tables'!F19,'Institution Tables'!T19,'Institution Tables'!F33,'Institution Tables'!T33,'Institution Tables'!F47,'Institution Tables'!T47,'Institution Tables'!F61,'Institution Tables'!T61,'Institution Tables'!F75),0),"")</f>
        <v>0</v>
      </c>
      <c r="G69" s="367">
        <f>IFERROR(ROUND(SUM('Institution Tables'!G5,'Institution Tables'!U5,'Institution Tables'!G19,'Institution Tables'!U19,'Institution Tables'!G33,'Institution Tables'!U33,'Institution Tables'!G47,'Institution Tables'!U47,'Institution Tables'!G61,'Institution Tables'!U61,'Institution Tables'!G75),0),"")</f>
        <v>0</v>
      </c>
      <c r="H69" s="367">
        <f>IFERROR(ROUND(SUM('Institution Tables'!H5,'Institution Tables'!V5,'Institution Tables'!H19,'Institution Tables'!V19,'Institution Tables'!H33,'Institution Tables'!V33,'Institution Tables'!H47,'Institution Tables'!V47,'Institution Tables'!H61,'Institution Tables'!V61,'Institution Tables'!H75),0),"")</f>
        <v>0</v>
      </c>
      <c r="I69" s="367">
        <f>IFERROR(ROUND(SUM('Institution Tables'!I5,'Institution Tables'!W5,'Institution Tables'!I19,'Institution Tables'!W19,'Institution Tables'!I33,'Institution Tables'!W33,'Institution Tables'!I47,'Institution Tables'!W47,'Institution Tables'!I61,'Institution Tables'!W61,'Institution Tables'!I75),0),"")</f>
        <v>0</v>
      </c>
      <c r="J69" s="367">
        <f>IFERROR(ROUND(SUM('Institution Tables'!J5,'Institution Tables'!X5,'Institution Tables'!J19,'Institution Tables'!X19,'Institution Tables'!J33,'Institution Tables'!X33,'Institution Tables'!J47,'Institution Tables'!X47,'Institution Tables'!J61,'Institution Tables'!X61,'Institution Tables'!J75),0),"")</f>
        <v>0</v>
      </c>
      <c r="K69" s="367">
        <f>IFERROR(ROUND(SUM('Institution Tables'!K5,'Institution Tables'!Y5,'Institution Tables'!K19,'Institution Tables'!Y19,'Institution Tables'!K33,'Institution Tables'!Y33,'Institution Tables'!K47,'Institution Tables'!Y47,'Institution Tables'!K61,'Institution Tables'!Y61,'Institution Tables'!K75),0),"")</f>
        <v>0</v>
      </c>
      <c r="L69" s="370">
        <f>IFERROR(ROUND(SUM('Institution Tables'!L5,'Institution Tables'!Z5,'Institution Tables'!L19,'Institution Tables'!Z19,'Institution Tables'!L33,'Institution Tables'!Z33,'Institution Tables'!L47,'Institution Tables'!Z47,'Institution Tables'!L61,'Institution Tables'!Z61,'Institution Tables'!L75),0),"")</f>
        <v>0</v>
      </c>
      <c r="M69" s="372">
        <f>IFERROR(ROUND(SUM('Institution Tables'!M5,'Institution Tables'!AA5,'Institution Tables'!M19,'Institution Tables'!AA19,'Institution Tables'!M33,'Institution Tables'!AA33,'Institution Tables'!M47,'Institution Tables'!AA47,'Institution Tables'!M61,'Institution Tables'!AA61,'Institution Tables'!M75),0),"")</f>
        <v>0</v>
      </c>
    </row>
    <row r="70" spans="1:26" ht="25.5" customHeight="1" thickBot="1" x14ac:dyDescent="0.25">
      <c r="A70" s="176" t="s">
        <v>799</v>
      </c>
      <c r="B70" s="382" t="str">
        <f>IFERROR(IF(SUM($C$70:$K$70)=0, "", SUM($C$70:$K$70)),"")</f>
        <v/>
      </c>
      <c r="C70" s="342">
        <f>IFERROR(ROUND(SUM('Institution Tables'!C6,'Institution Tables'!Q6,'Institution Tables'!C20,'Institution Tables'!Q20,'Institution Tables'!C34,'Institution Tables'!Q34,'Institution Tables'!C48,'Institution Tables'!Q48,'Institution Tables'!C62,'Institution Tables'!Q62,'Institution Tables'!C76),0),"")</f>
        <v>0</v>
      </c>
      <c r="D70" s="351">
        <f>IFERROR(ROUND(SUM('Institution Tables'!D6,'Institution Tables'!R6,'Institution Tables'!D20,'Institution Tables'!R20,'Institution Tables'!D34,'Institution Tables'!R34,'Institution Tables'!D48,'Institution Tables'!R48,'Institution Tables'!D62,'Institution Tables'!R62,'Institution Tables'!D76),0),"")</f>
        <v>0</v>
      </c>
      <c r="E70" s="351">
        <f>IFERROR(ROUND(SUM('Institution Tables'!E6,'Institution Tables'!S6,'Institution Tables'!E20,'Institution Tables'!S20,'Institution Tables'!E34,'Institution Tables'!S34,'Institution Tables'!E48,'Institution Tables'!S48,'Institution Tables'!E62,'Institution Tables'!S62,'Institution Tables'!E76),0),"")</f>
        <v>0</v>
      </c>
      <c r="F70" s="351">
        <f>IFERROR(ROUND(SUM('Institution Tables'!F6,'Institution Tables'!T6,'Institution Tables'!F20,'Institution Tables'!T20,'Institution Tables'!F34,'Institution Tables'!T34,'Institution Tables'!F48,'Institution Tables'!T48,'Institution Tables'!F62,'Institution Tables'!T62,'Institution Tables'!F76),0),"")</f>
        <v>0</v>
      </c>
      <c r="G70" s="351">
        <f>IFERROR(ROUND(SUM('Institution Tables'!G6,'Institution Tables'!U6,'Institution Tables'!G20,'Institution Tables'!U20,'Institution Tables'!G34,'Institution Tables'!U34,'Institution Tables'!G48,'Institution Tables'!U48,'Institution Tables'!G62,'Institution Tables'!U62,'Institution Tables'!G76),0),"")</f>
        <v>0</v>
      </c>
      <c r="H70" s="351">
        <f>IFERROR(ROUND(SUM('Institution Tables'!H6,'Institution Tables'!V6,'Institution Tables'!H20,'Institution Tables'!V20,'Institution Tables'!H34,'Institution Tables'!V34,'Institution Tables'!H48,'Institution Tables'!V48,'Institution Tables'!H62,'Institution Tables'!V62,'Institution Tables'!H76),0),"")</f>
        <v>0</v>
      </c>
      <c r="I70" s="351">
        <f>IFERROR(ROUND(SUM('Institution Tables'!I6,'Institution Tables'!W6,'Institution Tables'!I20,'Institution Tables'!W20,'Institution Tables'!I34,'Institution Tables'!W34,'Institution Tables'!I48,'Institution Tables'!W48,'Institution Tables'!I62,'Institution Tables'!W62,'Institution Tables'!I76),0),"")</f>
        <v>0</v>
      </c>
      <c r="J70" s="351">
        <f>IFERROR(ROUND(SUM('Institution Tables'!J6,'Institution Tables'!X6,'Institution Tables'!J20,'Institution Tables'!X20,'Institution Tables'!J34,'Institution Tables'!X34,'Institution Tables'!J48,'Institution Tables'!X48,'Institution Tables'!J62,'Institution Tables'!X62,'Institution Tables'!J76),0),"")</f>
        <v>0</v>
      </c>
      <c r="K70" s="351">
        <f>IFERROR(ROUND(SUM('Institution Tables'!K6,'Institution Tables'!Y6,'Institution Tables'!K20,'Institution Tables'!Y20,'Institution Tables'!K34,'Institution Tables'!Y34,'Institution Tables'!K48,'Institution Tables'!Y48,'Institution Tables'!K62,'Institution Tables'!Y62,'Institution Tables'!K76),0),"")</f>
        <v>0</v>
      </c>
      <c r="L70" s="371">
        <f>IFERROR(ROUND(SUM('Institution Tables'!L6,'Institution Tables'!Z6,'Institution Tables'!L20,'Institution Tables'!Z20,'Institution Tables'!L34,'Institution Tables'!Z34,'Institution Tables'!L48,'Institution Tables'!Z48,'Institution Tables'!L62,'Institution Tables'!Z62,'Institution Tables'!L76),0),"")</f>
        <v>0</v>
      </c>
      <c r="M70" s="373">
        <f>IFERROR(ROUND(SUM('Institution Tables'!M6,'Institution Tables'!AA6,'Institution Tables'!M20,'Institution Tables'!AA20,'Institution Tables'!M34,'Institution Tables'!AA34,'Institution Tables'!M48,'Institution Tables'!AA48,'Institution Tables'!M62,'Institution Tables'!AA62,'Institution Tables'!M76),0),"")</f>
        <v>0</v>
      </c>
      <c r="R70" s="267"/>
    </row>
    <row r="71" spans="1:26" ht="28.5" customHeight="1" x14ac:dyDescent="0.2">
      <c r="A71" s="177" t="s">
        <v>851</v>
      </c>
      <c r="B71" s="380" t="str">
        <f>IFERROR(IF(SUM($C$71:$K$71)=0, "", SUM($C$71:$K$71)),"")</f>
        <v/>
      </c>
      <c r="C71" s="349" t="str">
        <f>IFERROR(IF(SUM($C$67:$C$70)=0, "", SUM($C$67:$C$70)),"")</f>
        <v/>
      </c>
      <c r="D71" s="347" t="str">
        <f>IFERROR(IF(SUM($D$67:$D$70)=0, "", SUM($D$67:$D$70)),"")</f>
        <v/>
      </c>
      <c r="E71" s="347" t="str">
        <f>IFERROR(IF(SUM($E$67:$E$70)=0, "", SUM($E$67:$E$70)),"")</f>
        <v/>
      </c>
      <c r="F71" s="347" t="str">
        <f>IFERROR(IF(SUM($F$67:$F$70)=0, "", SUM($F$67:$F$70)),"")</f>
        <v/>
      </c>
      <c r="G71" s="348" t="str">
        <f>IFERROR(IF(SUM($G$67:$G$70)=0, "", SUM($G$67:$G$70)),"")</f>
        <v/>
      </c>
      <c r="H71" s="349" t="str">
        <f>IFERROR(IF(SUM($H$67:$H$70)=0, "", SUM($H$67:$H$70)),"")</f>
        <v/>
      </c>
      <c r="I71" s="419" t="str">
        <f>IFERROR(IF(SUM($I$67:$I$70)=0, "", SUM($I$67:$I$70)),"")</f>
        <v/>
      </c>
      <c r="J71" s="349" t="str">
        <f>IFERROR(IF(SUM($J$67:$J$70)=0, "", SUM($J$67:$J$70)),"")</f>
        <v/>
      </c>
      <c r="K71" s="378" t="str">
        <f>IFERROR(IF(SUM($K$67:$K$70)=0, "", SUM($K$67:$K$70)),"")</f>
        <v/>
      </c>
      <c r="L71" s="376" t="str">
        <f>IFERROR(IF(SUM($L$67:$L$70)=0, "", SUM($L$67:$L$70)),"")</f>
        <v/>
      </c>
      <c r="M71" s="374" t="str">
        <f>IFERROR(IF(SUM($M$67:$M$70)=0, "", SUM($M$67:$M$70)),"")</f>
        <v/>
      </c>
    </row>
    <row r="72" spans="1:26" ht="26.25" customHeight="1" x14ac:dyDescent="0.2">
      <c r="A72" s="178" t="s">
        <v>850</v>
      </c>
      <c r="B72" s="382" t="str">
        <f>IFERROR(IF(SUM($C$72:$K$72)=0, "", SUM($C$72:$K$72)),"")</f>
        <v/>
      </c>
      <c r="C72" s="368">
        <f>IFERROR(ROUND(SUM('Institution Tables'!C8,'Institution Tables'!Q8,'Institution Tables'!C22,'Institution Tables'!Q22,'Institution Tables'!C36,'Institution Tables'!Q36,'Institution Tables'!C50,'Institution Tables'!Q50,'Institution Tables'!C64,'Institution Tables'!Q64,'Institution Tables'!C78),0),"")</f>
        <v>0</v>
      </c>
      <c r="D72" s="367">
        <f>IFERROR(ROUND(SUM('Institution Tables'!D8,'Institution Tables'!R8,'Institution Tables'!D22,'Institution Tables'!R22,'Institution Tables'!D36,'Institution Tables'!R36,'Institution Tables'!D50,'Institution Tables'!R50,'Institution Tables'!D64,'Institution Tables'!R64,'Institution Tables'!D78),0),"")</f>
        <v>0</v>
      </c>
      <c r="E72" s="367">
        <f>IFERROR(ROUND(SUM('Institution Tables'!E8,'Institution Tables'!S8,'Institution Tables'!E22,'Institution Tables'!S22,'Institution Tables'!E36,'Institution Tables'!S36,'Institution Tables'!E50,'Institution Tables'!S50,'Institution Tables'!E64,'Institution Tables'!S64,'Institution Tables'!E78),0),"")</f>
        <v>0</v>
      </c>
      <c r="F72" s="367">
        <f>IFERROR(ROUND(SUM('Institution Tables'!F8,'Institution Tables'!T8,'Institution Tables'!F22,'Institution Tables'!T22,'Institution Tables'!F36,'Institution Tables'!T36,'Institution Tables'!F50,'Institution Tables'!T50,'Institution Tables'!F64,'Institution Tables'!T64,'Institution Tables'!F78),0),"")</f>
        <v>0</v>
      </c>
      <c r="G72" s="367">
        <f>IFERROR(ROUND(SUM('Institution Tables'!G8,'Institution Tables'!U8,'Institution Tables'!G22,'Institution Tables'!U22,'Institution Tables'!G36,'Institution Tables'!U36,'Institution Tables'!G50,'Institution Tables'!U50,'Institution Tables'!G64,'Institution Tables'!U64,'Institution Tables'!G78),0),"")</f>
        <v>0</v>
      </c>
      <c r="H72" s="367">
        <f>IFERROR(ROUND(SUM('Institution Tables'!H8,'Institution Tables'!V8,'Institution Tables'!H22,'Institution Tables'!V22,'Institution Tables'!H36,'Institution Tables'!V36,'Institution Tables'!H50,'Institution Tables'!V50,'Institution Tables'!H64,'Institution Tables'!V64,'Institution Tables'!H78),0),"")</f>
        <v>0</v>
      </c>
      <c r="I72" s="245">
        <f>IFERROR(ROUND(SUM('Institution Tables'!I8,'Institution Tables'!W8,'Institution Tables'!I22,'Institution Tables'!W22,'Institution Tables'!I36,'Institution Tables'!W36,'Institution Tables'!I50,'Institution Tables'!W50,'Institution Tables'!I64,'Institution Tables'!W64,'Institution Tables'!I78),0),"")</f>
        <v>0</v>
      </c>
      <c r="J72" s="368">
        <f>IFERROR(ROUND(SUM('Institution Tables'!J8,'Institution Tables'!X8,'Institution Tables'!J22,'Institution Tables'!X22,'Institution Tables'!J36,'Institution Tables'!X36,'Institution Tables'!J50,'Institution Tables'!X50,'Institution Tables'!J64,'Institution Tables'!X64,'Institution Tables'!J78),0),"")</f>
        <v>0</v>
      </c>
      <c r="K72" s="343">
        <f>IFERROR(ROUND(SUM('Institution Tables'!K8,'Institution Tables'!Y8,'Institution Tables'!K22,'Institution Tables'!Y22,'Institution Tables'!K36,'Institution Tables'!Y36,'Institution Tables'!K50,'Institution Tables'!Y50,'Institution Tables'!K64,'Institution Tables'!Y64,'Institution Tables'!K78),0),"")</f>
        <v>0</v>
      </c>
      <c r="L72" s="368">
        <f>IFERROR(ROUND(SUM('Institution Tables'!L8,'Institution Tables'!Z8,'Institution Tables'!L22,'Institution Tables'!Z22,'Institution Tables'!L36,'Institution Tables'!Z36,'Institution Tables'!L50,'Institution Tables'!Z50,'Institution Tables'!L64,'Institution Tables'!Z64,'Institution Tables'!L78),0),"")</f>
        <v>0</v>
      </c>
      <c r="M72" s="372">
        <f>IFERROR(ROUND(SUM('Institution Tables'!M8,'Institution Tables'!AA8,'Institution Tables'!M22,'Institution Tables'!AA22,'Institution Tables'!M36,'Institution Tables'!AA36,'Institution Tables'!M50,'Institution Tables'!AA50,'Institution Tables'!M64,'Institution Tables'!AA64,'Institution Tables'!M78),0),"")</f>
        <v>0</v>
      </c>
    </row>
    <row r="73" spans="1:26" ht="25.5" customHeight="1" x14ac:dyDescent="0.2">
      <c r="A73" s="178" t="s">
        <v>29</v>
      </c>
      <c r="B73" s="382" t="str">
        <f>IFERROR(IF(SUM($C$73:$K$73)=0, "", SUM($C$73:$K$73)),"")</f>
        <v/>
      </c>
      <c r="C73" s="368">
        <f>IFERROR(ROUND(SUM('Institution Tables'!C9,'Institution Tables'!Q9,'Institution Tables'!C23,'Institution Tables'!Q23,'Institution Tables'!C37,'Institution Tables'!Q37,'Institution Tables'!C51,'Institution Tables'!Q51,'Institution Tables'!C65,'Institution Tables'!Q65,'Institution Tables'!C79),0),"")</f>
        <v>0</v>
      </c>
      <c r="D73" s="367">
        <f>IFERROR(ROUND(SUM('Institution Tables'!D9,'Institution Tables'!R9,'Institution Tables'!D23,'Institution Tables'!R23,'Institution Tables'!D37,'Institution Tables'!R37,'Institution Tables'!D51,'Institution Tables'!R51,'Institution Tables'!D65,'Institution Tables'!R65,'Institution Tables'!D79),0),"")</f>
        <v>0</v>
      </c>
      <c r="E73" s="367">
        <f>IFERROR(ROUND(SUM('Institution Tables'!E9,'Institution Tables'!S9,'Institution Tables'!E23,'Institution Tables'!S23,'Institution Tables'!E37,'Institution Tables'!S37,'Institution Tables'!E51,'Institution Tables'!S51,'Institution Tables'!E65,'Institution Tables'!S65,'Institution Tables'!E79),0),"")</f>
        <v>0</v>
      </c>
      <c r="F73" s="367">
        <f>IFERROR(ROUND(SUM('Institution Tables'!F9,'Institution Tables'!T9,'Institution Tables'!F23,'Institution Tables'!T23,'Institution Tables'!F37,'Institution Tables'!T37,'Institution Tables'!F51,'Institution Tables'!T51,'Institution Tables'!F65,'Institution Tables'!T65,'Institution Tables'!F79),0),"")</f>
        <v>0</v>
      </c>
      <c r="G73" s="367">
        <f>IFERROR(ROUND(SUM('Institution Tables'!G9,'Institution Tables'!U9,'Institution Tables'!G23,'Institution Tables'!U23,'Institution Tables'!G37,'Institution Tables'!U37,'Institution Tables'!G51,'Institution Tables'!U51,'Institution Tables'!G65,'Institution Tables'!U65,'Institution Tables'!G79),0),"")</f>
        <v>0</v>
      </c>
      <c r="H73" s="367">
        <f>IFERROR(ROUND(SUM('Institution Tables'!H9,'Institution Tables'!V9,'Institution Tables'!H23,'Institution Tables'!V23,'Institution Tables'!H37,'Institution Tables'!V37,'Institution Tables'!H51,'Institution Tables'!V51,'Institution Tables'!H65,'Institution Tables'!V65,'Institution Tables'!H79),0),"")</f>
        <v>0</v>
      </c>
      <c r="I73" s="245">
        <f>IFERROR(ROUND(SUM('Institution Tables'!I9,'Institution Tables'!W9,'Institution Tables'!I23,'Institution Tables'!W23,'Institution Tables'!I37,'Institution Tables'!W37,'Institution Tables'!I51,'Institution Tables'!W51,'Institution Tables'!I65,'Institution Tables'!W65,'Institution Tables'!I79),0),"")</f>
        <v>0</v>
      </c>
      <c r="J73" s="368">
        <f>IFERROR(ROUND(SUM('Institution Tables'!J9,'Institution Tables'!X9,'Institution Tables'!J23,'Institution Tables'!X23,'Institution Tables'!J37,'Institution Tables'!X37,'Institution Tables'!J51,'Institution Tables'!X51,'Institution Tables'!J65,'Institution Tables'!X65,'Institution Tables'!J79),0),"")</f>
        <v>0</v>
      </c>
      <c r="K73" s="343">
        <f>IFERROR(ROUND(SUM('Institution Tables'!K9,'Institution Tables'!Y9,'Institution Tables'!K23,'Institution Tables'!Y23,'Institution Tables'!K37,'Institution Tables'!Y37,'Institution Tables'!K51,'Institution Tables'!Y51,'Institution Tables'!K65,'Institution Tables'!Y65,'Institution Tables'!K79),0),"")</f>
        <v>0</v>
      </c>
      <c r="L73" s="368">
        <f>IFERROR(ROUND(SUM('Institution Tables'!L9,'Institution Tables'!Z9,'Institution Tables'!L23,'Institution Tables'!Z23,'Institution Tables'!L37,'Institution Tables'!Z37,'Institution Tables'!L51,'Institution Tables'!Z51,'Institution Tables'!L65,'Institution Tables'!Z65,'Institution Tables'!L79),0),"")</f>
        <v>0</v>
      </c>
      <c r="M73" s="372">
        <f>IFERROR(ROUND(SUM('Institution Tables'!M9,'Institution Tables'!AA9,'Institution Tables'!M23,'Institution Tables'!AA23,'Institution Tables'!M37,'Institution Tables'!AA37,'Institution Tables'!M51,'Institution Tables'!AA51,'Institution Tables'!M65,'Institution Tables'!AA65,'Institution Tables'!M79),0),"")</f>
        <v>0</v>
      </c>
    </row>
    <row r="74" spans="1:26" ht="25.5" customHeight="1" thickBot="1" x14ac:dyDescent="0.25">
      <c r="A74" s="178" t="s">
        <v>39</v>
      </c>
      <c r="B74" s="382" t="str">
        <f>IFERROR(IF(SUM($C$74:$K$74)=0, "", SUM($C$74:$K$74)),"")</f>
        <v/>
      </c>
      <c r="C74" s="342">
        <f>IFERROR(ROUND(SUM('Institution Tables'!C10,'Institution Tables'!Q10,'Institution Tables'!C24,'Institution Tables'!Q24,'Institution Tables'!C38,'Institution Tables'!Q38,'Institution Tables'!C52,'Institution Tables'!Q52,'Institution Tables'!C66,'Institution Tables'!Q66,'Institution Tables'!C80),0),"")</f>
        <v>0</v>
      </c>
      <c r="D74" s="351">
        <f>IFERROR(ROUND(SUM('Institution Tables'!D10,'Institution Tables'!R10,'Institution Tables'!D24,'Institution Tables'!R24,'Institution Tables'!D38,'Institution Tables'!R38,'Institution Tables'!D52,'Institution Tables'!R52,'Institution Tables'!D66,'Institution Tables'!R66,'Institution Tables'!D80),0),"")</f>
        <v>0</v>
      </c>
      <c r="E74" s="351">
        <f>IFERROR(ROUND(SUM('Institution Tables'!E10,'Institution Tables'!S10,'Institution Tables'!E24,'Institution Tables'!S24,'Institution Tables'!E38,'Institution Tables'!S38,'Institution Tables'!E52,'Institution Tables'!S52,'Institution Tables'!E66,'Institution Tables'!S66,'Institution Tables'!E80),0),"")</f>
        <v>0</v>
      </c>
      <c r="F74" s="351">
        <f>IFERROR(ROUND(SUM('Institution Tables'!F10,'Institution Tables'!T10,'Institution Tables'!F24,'Institution Tables'!T24,'Institution Tables'!F38,'Institution Tables'!T38,'Institution Tables'!F52,'Institution Tables'!T52,'Institution Tables'!F66,'Institution Tables'!T66,'Institution Tables'!F80),0),"")</f>
        <v>0</v>
      </c>
      <c r="G74" s="351">
        <f>IFERROR(ROUND(SUM('Institution Tables'!G10,'Institution Tables'!U10,'Institution Tables'!G24,'Institution Tables'!U24,'Institution Tables'!G38,'Institution Tables'!U38,'Institution Tables'!G52,'Institution Tables'!U52,'Institution Tables'!G66,'Institution Tables'!U66,'Institution Tables'!G80),0),"")</f>
        <v>0</v>
      </c>
      <c r="H74" s="351">
        <f>IFERROR(ROUND(SUM('Institution Tables'!H10,'Institution Tables'!V10,'Institution Tables'!H24,'Institution Tables'!V24,'Institution Tables'!H38,'Institution Tables'!V38,'Institution Tables'!H52,'Institution Tables'!V52,'Institution Tables'!H66,'Institution Tables'!V66,'Institution Tables'!H80),0),"")</f>
        <v>0</v>
      </c>
      <c r="I74" s="420">
        <f>IFERROR(ROUND(SUM('Institution Tables'!I10,'Institution Tables'!W10,'Institution Tables'!I24,'Institution Tables'!W24,'Institution Tables'!I38,'Institution Tables'!W38,'Institution Tables'!I52,'Institution Tables'!W52,'Institution Tables'!I66,'Institution Tables'!W66,'Institution Tables'!I80),0),"")</f>
        <v>0</v>
      </c>
      <c r="J74" s="342">
        <f>IFERROR(ROUND(SUM('Institution Tables'!J10,'Institution Tables'!X10,'Institution Tables'!J24,'Institution Tables'!X24,'Institution Tables'!J38,'Institution Tables'!X38,'Institution Tables'!J52,'Institution Tables'!X52,'Institution Tables'!J66,'Institution Tables'!X66,'Institution Tables'!J80),0),"")</f>
        <v>0</v>
      </c>
      <c r="K74" s="344">
        <f>IFERROR(ROUND(SUM('Institution Tables'!K10,'Institution Tables'!Y10,'Institution Tables'!K24,'Institution Tables'!Y24,'Institution Tables'!K38,'Institution Tables'!Y38,'Institution Tables'!K52,'Institution Tables'!Y52,'Institution Tables'!K66,'Institution Tables'!Y66,'Institution Tables'!K80),0),"")</f>
        <v>0</v>
      </c>
      <c r="L74" s="368">
        <f>IFERROR(ROUND(SUM('Institution Tables'!L10,'Institution Tables'!Z10,'Institution Tables'!L24,'Institution Tables'!Z24,'Institution Tables'!L38,'Institution Tables'!Z38,'Institution Tables'!L52,'Institution Tables'!Z52,'Institution Tables'!L66,'Institution Tables'!Z66,'Institution Tables'!L80),0),"")</f>
        <v>0</v>
      </c>
      <c r="M74" s="375">
        <f>IFERROR(ROUND(SUM('Institution Tables'!M10,'Institution Tables'!AA10,'Institution Tables'!M24,'Institution Tables'!AA24,'Institution Tables'!M38,'Institution Tables'!AA38,'Institution Tables'!M52,'Institution Tables'!AA52,'Institution Tables'!M66,'Institution Tables'!AA66,'Institution Tables'!M80),0),"")</f>
        <v>0</v>
      </c>
    </row>
    <row r="75" spans="1:26" ht="25.5" customHeight="1" thickBot="1" x14ac:dyDescent="0.25">
      <c r="A75" s="177" t="s">
        <v>843</v>
      </c>
      <c r="B75" s="380" t="str">
        <f>IFERROR(IF(SUM($C$75:$K$75)=0, "", SUM($C$75:$K$75)),"")</f>
        <v/>
      </c>
      <c r="C75" s="349" t="str">
        <f>IFERROR(IF(SUM($C$71:$C$74)=0, "", SUM($C$71:$C$74)),"")</f>
        <v/>
      </c>
      <c r="D75" s="347" t="str">
        <f>IFERROR(IF(SUM($D$71:$D$74)=0, "", SUM($D$71:$D$74)),"")</f>
        <v/>
      </c>
      <c r="E75" s="347" t="str">
        <f>IFERROR(IF(SUM($E$71:$E$74)=0, "", SUM($E$71:$E$74)),"")</f>
        <v/>
      </c>
      <c r="F75" s="347" t="str">
        <f>IFERROR(IF(SUM($F$71:$F$74)=0, "", SUM($F$71:$F$74)),"")</f>
        <v/>
      </c>
      <c r="G75" s="348" t="str">
        <f>IFERROR(IF(SUM($G$71:$G$74)=0, "", SUM($G$71:$G$74)),"")</f>
        <v/>
      </c>
      <c r="H75" s="349" t="str">
        <f>IFERROR(IF(SUM($H$71:$H$74)=0, "", SUM($H$71:$H$74)),"")</f>
        <v/>
      </c>
      <c r="I75" s="348" t="str">
        <f>IFERROR(IF(SUM($I$71:$I$74)=0, "", SUM($I$71:$I$74)),"")</f>
        <v/>
      </c>
      <c r="J75" s="349" t="str">
        <f>IFERROR(IF(SUM($J$71:$J$74)=0, "", SUM($J$71:$J$74)),"")</f>
        <v/>
      </c>
      <c r="K75" s="350" t="str">
        <f>IFERROR(IF(SUM($K$71:$K$74)=0, "", SUM($K$71:$K$74)),"")</f>
        <v/>
      </c>
      <c r="L75" s="377" t="str">
        <f>IFERROR(IF(SUM($L$71:$L$74)=0, "", SUM($L$71:$L$74)),"")</f>
        <v/>
      </c>
      <c r="M75" s="226" t="str">
        <f>IFERROR(IF(SUM($M$71:$M$74)=0, "", SUM($M$71:$M$74)),"")</f>
        <v/>
      </c>
    </row>
    <row r="76" spans="1:26" ht="25.5" customHeight="1" thickBot="1" x14ac:dyDescent="0.25">
      <c r="A76" s="178" t="s">
        <v>836</v>
      </c>
      <c r="B76" s="382" t="str">
        <f>IFERROR(IF(SUM($C$76:$K$76)=0, "", SUM($C$76:$K$76)),"")</f>
        <v/>
      </c>
      <c r="C76" s="368">
        <f>IFERROR(SUM('Institution Tables'!C12,'Institution Tables'!Q12,'Institution Tables'!C26,'Institution Tables'!Q26,'Institution Tables'!C40,'Institution Tables'!Q40,'Institution Tables'!C54,'Institution Tables'!Q54,'Institution Tables'!C68,'Institution Tables'!Q68,'Institution Tables'!C82),"")</f>
        <v>0</v>
      </c>
      <c r="D76" s="244">
        <f>IFERROR(SUM('Institution Tables'!D12,'Institution Tables'!R12,'Institution Tables'!D26,'Institution Tables'!R26,'Institution Tables'!D40,'Institution Tables'!R40,'Institution Tables'!D54,'Institution Tables'!R54,'Institution Tables'!D68,'Institution Tables'!R68,'Institution Tables'!D82),"")</f>
        <v>0</v>
      </c>
      <c r="E76" s="244">
        <f>IFERROR(SUM('Institution Tables'!E12,'Institution Tables'!S12,'Institution Tables'!E26,'Institution Tables'!S26,'Institution Tables'!E40,'Institution Tables'!S40,'Institution Tables'!E54,'Institution Tables'!S54,'Institution Tables'!E68,'Institution Tables'!S68,'Institution Tables'!E82),"")</f>
        <v>0</v>
      </c>
      <c r="F76" s="244">
        <f>IFERROR(SUM('Institution Tables'!F12,'Institution Tables'!T12,'Institution Tables'!F26,'Institution Tables'!T26,'Institution Tables'!F40,'Institution Tables'!T40,'Institution Tables'!F54,'Institution Tables'!T54,'Institution Tables'!F68,'Institution Tables'!T68,'Institution Tables'!F82),"")</f>
        <v>0</v>
      </c>
      <c r="G76" s="245">
        <f>IFERROR(SUM('Institution Tables'!G12,'Institution Tables'!U12,'Institution Tables'!G26,'Institution Tables'!U26,'Institution Tables'!G40,'Institution Tables'!U40,'Institution Tables'!G54,'Institution Tables'!U54,'Institution Tables'!G68,'Institution Tables'!U68,'Institution Tables'!G82),"")</f>
        <v>0</v>
      </c>
      <c r="H76" s="246">
        <f>IFERROR(SUM('Institution Tables'!H12,'Institution Tables'!V12,'Institution Tables'!H26,'Institution Tables'!V26,'Institution Tables'!H40,'Institution Tables'!V40,'Institution Tables'!H54,'Institution Tables'!V54,'Institution Tables'!H68,'Institution Tables'!V68,'Institution Tables'!H82),"")</f>
        <v>0</v>
      </c>
      <c r="I76" s="245">
        <f>IFERROR(SUM('Institution Tables'!I12,'Institution Tables'!W12,'Institution Tables'!I26,'Institution Tables'!W26,'Institution Tables'!I40,'Institution Tables'!W40,'Institution Tables'!I54,'Institution Tables'!W54,'Institution Tables'!I68,'Institution Tables'!W68,'Institution Tables'!I82),"")</f>
        <v>0</v>
      </c>
      <c r="J76" s="368">
        <f>IFERROR(SUM('Institution Tables'!J12,'Institution Tables'!X12,'Institution Tables'!J26,'Institution Tables'!X26,'Institution Tables'!J40,'Institution Tables'!X40,'Institution Tables'!J54,'Institution Tables'!X54,'Institution Tables'!J68,'Institution Tables'!X68,'Institution Tables'!J82),"")</f>
        <v>0</v>
      </c>
      <c r="K76" s="343">
        <f>IFERROR(SUM('Institution Tables'!K12,'Institution Tables'!Y12,'Institution Tables'!K26,'Institution Tables'!Y26,'Institution Tables'!K40,'Institution Tables'!Y40,'Institution Tables'!K54,'Institution Tables'!Y54,'Institution Tables'!K68,'Institution Tables'!Y68,'Institution Tables'!K82),"")</f>
        <v>0</v>
      </c>
    </row>
    <row r="77" spans="1:26" ht="25.5" customHeight="1" thickBot="1" x14ac:dyDescent="0.25">
      <c r="A77" s="179" t="s">
        <v>834</v>
      </c>
      <c r="B77" s="383" t="str">
        <f>IFERROR(IF(SUM($C$77:$K$77)=0, "", SUM($C$77:$K$77)),"")</f>
        <v/>
      </c>
      <c r="C77" s="379" t="str">
        <f>IFERROR(IF(SUM($C$75:$C$76)=0, "", SUM($C$75:$C$76)),"")</f>
        <v/>
      </c>
      <c r="D77" s="228" t="str">
        <f>IFERROR(IF(SUM($D$75:$D$76)=0, "", SUM($D$75:$D$76)),"")</f>
        <v/>
      </c>
      <c r="E77" s="228" t="str">
        <f>IFERROR(IF(SUM($E$75:$E$76)=0, "", SUM($E$75:$E$76)),"")</f>
        <v/>
      </c>
      <c r="F77" s="228" t="str">
        <f>IFERROR(IF(SUM($F$75:$F$76)=0, "", SUM($F$75:$F$76)),"")</f>
        <v/>
      </c>
      <c r="G77" s="229" t="str">
        <f>IFERROR(IF(SUM($G$75:$G$76)=0, "", SUM($G$75:$G$76)),"")</f>
        <v/>
      </c>
      <c r="H77" s="345" t="str">
        <f>IFERROR(IF(SUM($H$75:$H$76)=0, "", SUM($H$75:$H$76)),"")</f>
        <v/>
      </c>
      <c r="I77" s="421" t="str">
        <f>IFERROR(IF(SUM($I$75:$I$76)=0, "", SUM($I$75:$I$76)),"")</f>
        <v/>
      </c>
      <c r="J77" s="345" t="str">
        <f>IFERROR(IF(SUM($J$75:$J$76)=0, "", SUM($J$75:$J$76)),"")</f>
        <v/>
      </c>
      <c r="K77" s="346" t="str">
        <f>IFERROR(IF(SUM($K$75:$K$76)=0, "", SUM($K$75:$K$76)),"")</f>
        <v/>
      </c>
    </row>
    <row r="78" spans="1:26" ht="24.95" customHeight="1" thickBot="1" x14ac:dyDescent="0.25">
      <c r="A78" s="180"/>
      <c r="B78" s="181"/>
      <c r="C78" s="172"/>
      <c r="D78" s="172"/>
      <c r="E78" s="172"/>
      <c r="F78" s="172"/>
      <c r="G78" s="172"/>
    </row>
    <row r="79" spans="1:26" ht="27.75" customHeight="1" x14ac:dyDescent="0.2">
      <c r="A79" s="266" t="s">
        <v>826</v>
      </c>
      <c r="B79" s="466" t="s">
        <v>688</v>
      </c>
      <c r="C79" s="467"/>
      <c r="D79" s="476" t="s">
        <v>1</v>
      </c>
      <c r="E79" s="476"/>
      <c r="F79" s="476" t="s">
        <v>10</v>
      </c>
      <c r="G79" s="476"/>
      <c r="H79" s="476" t="s">
        <v>11</v>
      </c>
      <c r="I79" s="476"/>
      <c r="J79" s="476" t="s">
        <v>631</v>
      </c>
      <c r="K79" s="476"/>
      <c r="L79" s="476" t="s">
        <v>632</v>
      </c>
      <c r="M79" s="476"/>
      <c r="N79" s="476" t="s">
        <v>633</v>
      </c>
      <c r="O79" s="476"/>
      <c r="P79" s="476" t="s">
        <v>634</v>
      </c>
      <c r="Q79" s="476"/>
      <c r="R79" s="476" t="s">
        <v>635</v>
      </c>
      <c r="S79" s="476"/>
      <c r="T79" s="476" t="s">
        <v>636</v>
      </c>
      <c r="U79" s="476"/>
      <c r="V79" s="476" t="s">
        <v>637</v>
      </c>
      <c r="W79" s="476"/>
      <c r="X79" s="476" t="s">
        <v>740</v>
      </c>
      <c r="Y79" s="486"/>
      <c r="Z79" s="256"/>
    </row>
    <row r="80" spans="1:26" ht="42" customHeight="1" x14ac:dyDescent="0.2">
      <c r="A80" s="260" t="s">
        <v>801</v>
      </c>
      <c r="B80" s="468"/>
      <c r="C80" s="469"/>
      <c r="D80" s="477" t="str">
        <f>IFERROR(IF(C$11="","",C$11),"")</f>
        <v/>
      </c>
      <c r="E80" s="477"/>
      <c r="F80" s="477" t="str">
        <f>IFERROR(IF(E$11="","",E$11),"")</f>
        <v/>
      </c>
      <c r="G80" s="477"/>
      <c r="H80" s="477" t="str">
        <f>IFERROR(IF(G$11="","",G$11),"")</f>
        <v/>
      </c>
      <c r="I80" s="477"/>
      <c r="J80" s="477" t="str">
        <f>IFERROR(IF(I$11="","",I$11),"")</f>
        <v/>
      </c>
      <c r="K80" s="477"/>
      <c r="L80" s="477" t="str">
        <f>IFERROR(IF(K$11="","",K$11),"")</f>
        <v/>
      </c>
      <c r="M80" s="477"/>
      <c r="N80" s="477" t="str">
        <f>IFERROR(IF(M$11="","",M$11),"")</f>
        <v/>
      </c>
      <c r="O80" s="477"/>
      <c r="P80" s="477" t="str">
        <f>IFERROR(IF(O$11="","",O$11),"")</f>
        <v/>
      </c>
      <c r="Q80" s="477"/>
      <c r="R80" s="477" t="str">
        <f>IFERROR(IF(Q$11="","",Q$11),"")</f>
        <v/>
      </c>
      <c r="S80" s="477"/>
      <c r="T80" s="477" t="str">
        <f>IFERROR(IF(S$11="","",S$11),"")</f>
        <v/>
      </c>
      <c r="U80" s="477"/>
      <c r="V80" s="477" t="str">
        <f>IFERROR(IF(U$11="","",U$11),"")</f>
        <v/>
      </c>
      <c r="W80" s="477"/>
      <c r="X80" s="487" t="str">
        <f>IFERROR(IF(W$11="","",W$11),"")</f>
        <v/>
      </c>
      <c r="Y80" s="488"/>
      <c r="Z80" s="257"/>
    </row>
    <row r="81" spans="1:28" ht="25.5" customHeight="1" thickBot="1" x14ac:dyDescent="0.25">
      <c r="A81" s="261" t="s">
        <v>802</v>
      </c>
      <c r="B81" s="470"/>
      <c r="C81" s="471"/>
      <c r="D81" s="478" t="str">
        <f>IFERROR(IF(C$14="","",C$14),"")</f>
        <v/>
      </c>
      <c r="E81" s="478"/>
      <c r="F81" s="478" t="str">
        <f>IFERROR(IF(E$14="","",E$14),"")</f>
        <v/>
      </c>
      <c r="G81" s="478"/>
      <c r="H81" s="478" t="str">
        <f>IFERROR(IF(G$14="","",G$14),"")</f>
        <v/>
      </c>
      <c r="I81" s="478"/>
      <c r="J81" s="478" t="str">
        <f>IFERROR(IF(I$14="","",I$14),"")</f>
        <v/>
      </c>
      <c r="K81" s="478"/>
      <c r="L81" s="478" t="str">
        <f>IFERROR(IF(K$14="","",K$14),"")</f>
        <v/>
      </c>
      <c r="M81" s="478"/>
      <c r="N81" s="478" t="str">
        <f>IFERROR(IF(M$14="","",M$14),"")</f>
        <v/>
      </c>
      <c r="O81" s="478"/>
      <c r="P81" s="478" t="str">
        <f>IFERROR(IF(O$14="","",O$14),"")</f>
        <v/>
      </c>
      <c r="Q81" s="478"/>
      <c r="R81" s="478" t="str">
        <f>IFERROR(IF(Q$14="","",Q$14),"")</f>
        <v/>
      </c>
      <c r="S81" s="478"/>
      <c r="T81" s="478" t="str">
        <f>IFERROR(IF(S$14="","",S$14),"")</f>
        <v/>
      </c>
      <c r="U81" s="478"/>
      <c r="V81" s="478" t="str">
        <f>IFERROR(IF(U$14="","",U$14),"")</f>
        <v/>
      </c>
      <c r="W81" s="478"/>
      <c r="X81" s="470" t="str">
        <f>IFERROR(IF(W$14="","",W$14),"")</f>
        <v/>
      </c>
      <c r="Y81" s="489"/>
      <c r="Z81" s="257"/>
      <c r="AA81" s="364"/>
      <c r="AB81" s="364"/>
    </row>
    <row r="82" spans="1:28" ht="25.5" customHeight="1" x14ac:dyDescent="0.2">
      <c r="A82" s="262" t="s">
        <v>820</v>
      </c>
      <c r="B82" s="472">
        <f>IFERROR(IF(SUM($D82:$Y82)="","",SUM($D82:$Y82)),"")</f>
        <v>0</v>
      </c>
      <c r="C82" s="472"/>
      <c r="D82" s="472">
        <f>IFERROR(ROUND(SUM('Institution Tables'!B$7,'Institution Tables'!B$8),0),"")</f>
        <v>0</v>
      </c>
      <c r="E82" s="472"/>
      <c r="F82" s="472">
        <f>IFERROR(ROUND(SUM('Institution Tables'!P$7,'Institution Tables'!P$8),0),"")</f>
        <v>0</v>
      </c>
      <c r="G82" s="472"/>
      <c r="H82" s="472">
        <f>IFERROR(ROUND(SUM('Institution Tables'!B$21,'Institution Tables'!B$22),0),"")</f>
        <v>0</v>
      </c>
      <c r="I82" s="472"/>
      <c r="J82" s="472">
        <f>IFERROR(ROUND(SUM('Institution Tables'!P$21,'Institution Tables'!P$22),0),"")</f>
        <v>0</v>
      </c>
      <c r="K82" s="472"/>
      <c r="L82" s="472">
        <f>IFERROR(ROUND(SUM('Institution Tables'!B$35,'Institution Tables'!B$36),0),"")</f>
        <v>0</v>
      </c>
      <c r="M82" s="472"/>
      <c r="N82" s="472">
        <f>IFERROR(ROUND(SUM('Institution Tables'!P$35,'Institution Tables'!P$36),0),"")</f>
        <v>0</v>
      </c>
      <c r="O82" s="472"/>
      <c r="P82" s="472">
        <f>IFERROR(ROUND(SUM('Institution Tables'!B$49,'Institution Tables'!B$50),0),"")</f>
        <v>0</v>
      </c>
      <c r="Q82" s="472"/>
      <c r="R82" s="472">
        <f>IFERROR(ROUND(SUM('Institution Tables'!P$49,'Institution Tables'!P$50),0),"")</f>
        <v>0</v>
      </c>
      <c r="S82" s="472"/>
      <c r="T82" s="472">
        <f>IFERROR(ROUND(SUM('Institution Tables'!B$63,'Institution Tables'!B$64),0),"")</f>
        <v>0</v>
      </c>
      <c r="U82" s="472"/>
      <c r="V82" s="482">
        <f>IFERROR(ROUND(SUM('Institution Tables'!P$63,'Institution Tables'!P$64),0),"")</f>
        <v>0</v>
      </c>
      <c r="W82" s="483"/>
      <c r="X82" s="482">
        <f>IFERROR(ROUND(SUM('Institution Tables'!B$77,'Institution Tables'!B$78),0),"")</f>
        <v>0</v>
      </c>
      <c r="Y82" s="490"/>
      <c r="Z82" s="258"/>
      <c r="AA82" s="508"/>
      <c r="AB82" s="508"/>
    </row>
    <row r="83" spans="1:28" ht="25.5" customHeight="1" thickBot="1" x14ac:dyDescent="0.25">
      <c r="A83" s="263" t="s">
        <v>821</v>
      </c>
      <c r="B83" s="473">
        <f>IFERROR(IF(SUM($D83:$Y83)="","",SUM($D83:$Y83)),"")</f>
        <v>0</v>
      </c>
      <c r="C83" s="473"/>
      <c r="D83" s="475">
        <f>IFERROR(ROUND(SUM('Institution Tables'!B$9,'Institution Tables'!B$10),0),"")</f>
        <v>0</v>
      </c>
      <c r="E83" s="475"/>
      <c r="F83" s="475">
        <f>IFERROR(ROUND(SUM('Institution Tables'!P$9,'Institution Tables'!P$10),0),"")</f>
        <v>0</v>
      </c>
      <c r="G83" s="475"/>
      <c r="H83" s="475">
        <f>IFERROR(ROUND(SUM('Institution Tables'!B$23,'Institution Tables'!B$24),0),"")</f>
        <v>0</v>
      </c>
      <c r="I83" s="475"/>
      <c r="J83" s="475">
        <f>IFERROR(ROUND(SUM('Institution Tables'!P$23,'Institution Tables'!P$24),0),"")</f>
        <v>0</v>
      </c>
      <c r="K83" s="475"/>
      <c r="L83" s="475">
        <f>IFERROR(ROUND(SUM('Institution Tables'!B$37,'Institution Tables'!B$38),0),"")</f>
        <v>0</v>
      </c>
      <c r="M83" s="475"/>
      <c r="N83" s="475">
        <f>IFERROR(ROUND(SUM('Institution Tables'!P$37,'Institution Tables'!P$38),0),"")</f>
        <v>0</v>
      </c>
      <c r="O83" s="475"/>
      <c r="P83" s="475">
        <f>IFERROR(ROUND(SUM('Institution Tables'!B$51,'Institution Tables'!B$52),0),"")</f>
        <v>0</v>
      </c>
      <c r="Q83" s="475"/>
      <c r="R83" s="475">
        <f>IFERROR(ROUND(SUM('Institution Tables'!P$51,'Institution Tables'!P$52),0),"")</f>
        <v>0</v>
      </c>
      <c r="S83" s="475"/>
      <c r="T83" s="475">
        <f>IFERROR(ROUND(SUM('Institution Tables'!B$65,'Institution Tables'!B$66),0),"")</f>
        <v>0</v>
      </c>
      <c r="U83" s="475"/>
      <c r="V83" s="484">
        <f>IFERROR(ROUND(SUM('Institution Tables'!P$65,'Institution Tables'!P$66),0),"")</f>
        <v>0</v>
      </c>
      <c r="W83" s="485"/>
      <c r="X83" s="484">
        <f>IFERROR(ROUND(SUM('Institution Tables'!B$79,'Institution Tables'!B$80),0),"")</f>
        <v>0</v>
      </c>
      <c r="Y83" s="491"/>
      <c r="Z83" s="258"/>
      <c r="AA83" s="508"/>
      <c r="AB83" s="508"/>
    </row>
    <row r="84" spans="1:28" ht="25.5" customHeight="1" x14ac:dyDescent="0.2">
      <c r="A84" s="264" t="s">
        <v>843</v>
      </c>
      <c r="B84" s="474">
        <f t="shared" ref="B84:B85" si="8">IFERROR(IF(SUM($D84:$Y84)="","",SUM($D84:$Y84)),"")</f>
        <v>0</v>
      </c>
      <c r="C84" s="474"/>
      <c r="D84" s="474">
        <f>IFERROR(IF(SUM(D$82:E$83)="","",SUM(D$82:E$83)),"")</f>
        <v>0</v>
      </c>
      <c r="E84" s="474"/>
      <c r="F84" s="474">
        <f>IFERROR(IF(SUM(F$82:G$83)="","",SUM(F$82:G$83)),"")</f>
        <v>0</v>
      </c>
      <c r="G84" s="474"/>
      <c r="H84" s="474">
        <f>IFERROR(IF(SUM(H$82:I$83)="","",SUM(H$82:I$83)),"")</f>
        <v>0</v>
      </c>
      <c r="I84" s="474"/>
      <c r="J84" s="474">
        <f>IFERROR(IF(SUM(J$82:K$83)="","",SUM(J$82:K$83)),"")</f>
        <v>0</v>
      </c>
      <c r="K84" s="474"/>
      <c r="L84" s="474">
        <f>IFERROR(IF(SUM(L$82:M$83)="","",SUM(L$82:M$83)),"")</f>
        <v>0</v>
      </c>
      <c r="M84" s="474"/>
      <c r="N84" s="474">
        <f>IFERROR(IF(SUM(N$82:O$83)="","",SUM(N$82:O$83)),"")</f>
        <v>0</v>
      </c>
      <c r="O84" s="474"/>
      <c r="P84" s="474">
        <f>IFERROR(IF(SUM(P$82:Q$83)="","",SUM(P$82:Q$83)),"")</f>
        <v>0</v>
      </c>
      <c r="Q84" s="474"/>
      <c r="R84" s="474">
        <f>IFERROR(IF(SUM(R$82:S$83)="","",SUM(R$82:S$83)),"")</f>
        <v>0</v>
      </c>
      <c r="S84" s="474"/>
      <c r="T84" s="474">
        <f>IFERROR(IF(SUM(T$82:U$83)="","",SUM(T$82:U$83)),"")</f>
        <v>0</v>
      </c>
      <c r="U84" s="474"/>
      <c r="V84" s="474">
        <f>IFERROR(IF(SUM(V$82:W$83)="","",SUM(V$82:W$83)),"")</f>
        <v>0</v>
      </c>
      <c r="W84" s="474"/>
      <c r="X84" s="474">
        <f>IFERROR(IF(SUM(X$82:Y$83)="","",SUM(X$82:Y$83)),"")</f>
        <v>0</v>
      </c>
      <c r="Y84" s="492"/>
      <c r="Z84" s="259"/>
      <c r="AA84" s="481"/>
      <c r="AB84" s="481"/>
    </row>
    <row r="85" spans="1:28" ht="25.5" customHeight="1" thickBot="1" x14ac:dyDescent="0.25">
      <c r="A85" s="261" t="s">
        <v>836</v>
      </c>
      <c r="B85" s="475">
        <f t="shared" si="8"/>
        <v>0</v>
      </c>
      <c r="C85" s="475"/>
      <c r="D85" s="475" t="str">
        <f>IFERROR('Institution Tables'!B$12,"")</f>
        <v/>
      </c>
      <c r="E85" s="475"/>
      <c r="F85" s="475" t="str">
        <f>IFERROR('Institution Tables'!P$12,"")</f>
        <v/>
      </c>
      <c r="G85" s="475"/>
      <c r="H85" s="475" t="str">
        <f>IFERROR('Institution Tables'!B$26,"")</f>
        <v/>
      </c>
      <c r="I85" s="475"/>
      <c r="J85" s="475" t="str">
        <f>IFERROR('Institution Tables'!P$26,"")</f>
        <v/>
      </c>
      <c r="K85" s="475"/>
      <c r="L85" s="475" t="str">
        <f>IFERROR('Institution Tables'!B$40,"")</f>
        <v/>
      </c>
      <c r="M85" s="475"/>
      <c r="N85" s="475" t="str">
        <f>IFERROR('Institution Tables'!P$40,"")</f>
        <v/>
      </c>
      <c r="O85" s="475"/>
      <c r="P85" s="475" t="str">
        <f>IFERROR('Institution Tables'!B$54,"")</f>
        <v/>
      </c>
      <c r="Q85" s="475"/>
      <c r="R85" s="475" t="str">
        <f>IFERROR('Institution Tables'!P$54,"")</f>
        <v/>
      </c>
      <c r="S85" s="475"/>
      <c r="T85" s="475" t="str">
        <f>IFERROR('Institution Tables'!B$68,"")</f>
        <v/>
      </c>
      <c r="U85" s="475"/>
      <c r="V85" s="475" t="str">
        <f>IFERROR('Institution Tables'!P$68,"")</f>
        <v/>
      </c>
      <c r="W85" s="475"/>
      <c r="X85" s="484" t="str">
        <f>IFERROR('Institution Tables'!B$82,"")</f>
        <v/>
      </c>
      <c r="Y85" s="491"/>
      <c r="Z85" s="259"/>
      <c r="AA85" s="481"/>
      <c r="AB85" s="481"/>
    </row>
    <row r="86" spans="1:28" ht="25.5" customHeight="1" thickBot="1" x14ac:dyDescent="0.25">
      <c r="A86" s="265" t="s">
        <v>834</v>
      </c>
      <c r="B86" s="480">
        <f>IFERROR(IF(SUM($D86:$Y86)="","",SUM($D86:$Y86)),"")</f>
        <v>0</v>
      </c>
      <c r="C86" s="480"/>
      <c r="D86" s="480">
        <f>IFERROR(IF(SUM(D$84:E$85)="","",SUM(D$84:E$85)),"")</f>
        <v>0</v>
      </c>
      <c r="E86" s="480"/>
      <c r="F86" s="480">
        <f>IFERROR(IF(SUM(F$84:G$85)="","",SUM(F$84:G$85)),"")</f>
        <v>0</v>
      </c>
      <c r="G86" s="480"/>
      <c r="H86" s="480">
        <f>IFERROR(IF(SUM(H$84:I$85)="","",SUM(H$84:I$85)),"")</f>
        <v>0</v>
      </c>
      <c r="I86" s="480"/>
      <c r="J86" s="480">
        <f>IFERROR(IF(SUM(J$84:K$85)="","",SUM(J$84:K$85)),"")</f>
        <v>0</v>
      </c>
      <c r="K86" s="480"/>
      <c r="L86" s="480">
        <f>IFERROR(IF(SUM(L$84:M$85)="","",SUM(L$84:M$85)),"")</f>
        <v>0</v>
      </c>
      <c r="M86" s="480"/>
      <c r="N86" s="480">
        <f>IFERROR(IF(SUM(N$84:O$85)="","",SUM(N$84:O$85)),"")</f>
        <v>0</v>
      </c>
      <c r="O86" s="480"/>
      <c r="P86" s="480">
        <f>IFERROR(IF(SUM(P$84:Q$85)="","",SUM(P$84:Q$85)),"")</f>
        <v>0</v>
      </c>
      <c r="Q86" s="480"/>
      <c r="R86" s="480">
        <f>IFERROR(IF(SUM(R$84:S$85)="","",SUM(R$84:S$85)),"")</f>
        <v>0</v>
      </c>
      <c r="S86" s="480"/>
      <c r="T86" s="480">
        <f>IFERROR(IF(SUM(T$84:U$85)="","",SUM(T$84:U$85)),"")</f>
        <v>0</v>
      </c>
      <c r="U86" s="480"/>
      <c r="V86" s="480">
        <f>IFERROR(IF(SUM(V$84:W$85)="","",SUM(V$84:W$85)),"")</f>
        <v>0</v>
      </c>
      <c r="W86" s="480"/>
      <c r="X86" s="480">
        <f>IFERROR(IF(SUM(X$84:Y$85)="","",SUM(X$84:Y$85)),"")</f>
        <v>0</v>
      </c>
      <c r="Y86" s="493"/>
      <c r="Z86" s="259"/>
      <c r="AA86" s="481"/>
      <c r="AB86" s="481"/>
    </row>
    <row r="87" spans="1:28" x14ac:dyDescent="0.2">
      <c r="A87" s="183"/>
      <c r="B87" s="182"/>
      <c r="AA87" s="364"/>
      <c r="AB87" s="364"/>
    </row>
    <row r="88" spans="1:28" x14ac:dyDescent="0.2">
      <c r="A88" s="183"/>
      <c r="B88" s="184"/>
      <c r="AA88" s="364"/>
      <c r="AB88" s="364"/>
    </row>
    <row r="89" spans="1:28" ht="16.5" customHeight="1" x14ac:dyDescent="0.2">
      <c r="A89" s="180"/>
      <c r="B89" s="181"/>
    </row>
    <row r="91" spans="1:28" x14ac:dyDescent="0.2">
      <c r="A91" s="153"/>
      <c r="B91" s="153"/>
      <c r="D91" s="153"/>
      <c r="E91" s="153"/>
      <c r="F91" s="153"/>
      <c r="G91" s="153"/>
      <c r="H91" s="153"/>
    </row>
    <row r="92" spans="1:28" x14ac:dyDescent="0.2">
      <c r="A92" s="185"/>
      <c r="B92" s="186"/>
      <c r="D92" s="187"/>
      <c r="E92" s="187"/>
      <c r="F92" s="187"/>
      <c r="G92" s="187"/>
      <c r="H92" s="188"/>
    </row>
    <row r="93" spans="1:28" x14ac:dyDescent="0.2">
      <c r="A93" s="185"/>
      <c r="B93" s="186"/>
      <c r="D93" s="187"/>
      <c r="E93" s="187"/>
      <c r="F93" s="187"/>
      <c r="G93" s="187"/>
      <c r="H93" s="188"/>
    </row>
    <row r="94" spans="1:28" x14ac:dyDescent="0.2">
      <c r="A94" s="185"/>
      <c r="B94" s="186"/>
      <c r="D94" s="187"/>
      <c r="E94" s="187"/>
      <c r="F94" s="187"/>
      <c r="G94" s="187"/>
      <c r="H94" s="188"/>
    </row>
    <row r="95" spans="1:28" x14ac:dyDescent="0.2">
      <c r="A95" s="189"/>
      <c r="B95" s="186"/>
      <c r="D95" s="187"/>
      <c r="E95" s="187"/>
      <c r="F95" s="187"/>
      <c r="G95" s="187"/>
      <c r="H95" s="188"/>
    </row>
    <row r="96" spans="1:28" x14ac:dyDescent="0.2">
      <c r="A96" s="189"/>
      <c r="B96" s="186"/>
      <c r="D96" s="187"/>
      <c r="E96" s="187"/>
      <c r="F96" s="187"/>
      <c r="G96" s="187"/>
      <c r="H96" s="188"/>
    </row>
    <row r="97" spans="1:8" x14ac:dyDescent="0.2">
      <c r="A97" s="189"/>
      <c r="B97" s="186"/>
      <c r="D97" s="187"/>
      <c r="E97" s="187"/>
      <c r="F97" s="187"/>
      <c r="G97" s="187"/>
      <c r="H97" s="188"/>
    </row>
    <row r="98" spans="1:8" x14ac:dyDescent="0.2">
      <c r="A98" s="189"/>
      <c r="B98" s="190"/>
      <c r="D98" s="187"/>
      <c r="E98" s="187"/>
      <c r="F98" s="187"/>
      <c r="G98" s="187"/>
      <c r="H98" s="188"/>
    </row>
    <row r="99" spans="1:8" x14ac:dyDescent="0.2">
      <c r="A99" s="189"/>
      <c r="B99" s="191"/>
      <c r="D99" s="187"/>
      <c r="E99" s="187"/>
      <c r="F99" s="187"/>
      <c r="G99" s="187"/>
      <c r="H99" s="188"/>
    </row>
    <row r="100" spans="1:8" x14ac:dyDescent="0.2">
      <c r="D100" s="187"/>
      <c r="E100" s="187"/>
      <c r="F100" s="187"/>
      <c r="G100" s="187"/>
      <c r="H100" s="188"/>
    </row>
    <row r="101" spans="1:8" x14ac:dyDescent="0.2">
      <c r="D101" s="147"/>
      <c r="E101" s="147"/>
      <c r="F101" s="147"/>
      <c r="G101" s="147"/>
      <c r="H101" s="147"/>
    </row>
    <row r="102" spans="1:8" x14ac:dyDescent="0.2">
      <c r="D102" s="147"/>
      <c r="E102" s="147"/>
      <c r="F102" s="147"/>
      <c r="G102" s="147"/>
      <c r="H102" s="147"/>
    </row>
    <row r="103" spans="1:8" x14ac:dyDescent="0.2">
      <c r="D103" s="147"/>
      <c r="E103" s="147"/>
      <c r="F103" s="147"/>
      <c r="G103" s="147"/>
      <c r="H103" s="147"/>
    </row>
    <row r="108" spans="1:8" x14ac:dyDescent="0.2">
      <c r="A108" s="99"/>
      <c r="B108" s="99"/>
    </row>
    <row r="109" spans="1:8" x14ac:dyDescent="0.2">
      <c r="A109" s="183"/>
      <c r="B109" s="182"/>
      <c r="C109" s="192"/>
      <c r="D109" s="192"/>
      <c r="E109" s="192"/>
      <c r="F109" s="192"/>
      <c r="G109" s="192"/>
    </row>
    <row r="110" spans="1:8" x14ac:dyDescent="0.2">
      <c r="A110" s="183"/>
      <c r="B110" s="182"/>
      <c r="C110" s="182"/>
      <c r="D110" s="182"/>
      <c r="E110" s="182"/>
      <c r="F110" s="182"/>
      <c r="G110" s="182"/>
    </row>
    <row r="111" spans="1:8" x14ac:dyDescent="0.2">
      <c r="A111" s="183"/>
      <c r="B111" s="182"/>
      <c r="C111" s="182"/>
      <c r="D111" s="182"/>
      <c r="E111" s="182"/>
      <c r="F111" s="182"/>
      <c r="G111" s="182"/>
    </row>
    <row r="112" spans="1:8" x14ac:dyDescent="0.2">
      <c r="A112" s="183"/>
      <c r="B112" s="182"/>
      <c r="C112" s="182"/>
      <c r="D112" s="182"/>
      <c r="E112" s="182"/>
      <c r="F112" s="182"/>
      <c r="G112" s="182"/>
    </row>
    <row r="113" spans="1:7" x14ac:dyDescent="0.2">
      <c r="A113" s="183"/>
      <c r="B113" s="182"/>
      <c r="C113" s="182"/>
      <c r="D113" s="182"/>
      <c r="E113" s="182"/>
      <c r="F113" s="182"/>
      <c r="G113" s="182"/>
    </row>
    <row r="114" spans="1:7" x14ac:dyDescent="0.2">
      <c r="A114" s="183"/>
      <c r="B114" s="182"/>
      <c r="C114" s="182"/>
      <c r="D114" s="182"/>
      <c r="E114" s="182"/>
      <c r="F114" s="182"/>
      <c r="G114" s="182"/>
    </row>
    <row r="115" spans="1:7" x14ac:dyDescent="0.2">
      <c r="A115" s="183"/>
      <c r="B115" s="182"/>
      <c r="C115" s="182"/>
      <c r="D115" s="182"/>
      <c r="E115" s="182"/>
      <c r="F115" s="182"/>
      <c r="G115" s="182"/>
    </row>
    <row r="116" spans="1:7" x14ac:dyDescent="0.2">
      <c r="A116" s="183"/>
      <c r="B116" s="182"/>
      <c r="C116" s="182"/>
      <c r="D116" s="182"/>
      <c r="E116" s="182"/>
      <c r="F116" s="182"/>
      <c r="G116" s="182"/>
    </row>
    <row r="117" spans="1:7" x14ac:dyDescent="0.2">
      <c r="A117" s="183"/>
      <c r="B117" s="184"/>
      <c r="C117" s="182"/>
      <c r="D117" s="182"/>
      <c r="E117" s="182"/>
      <c r="F117" s="182"/>
      <c r="G117" s="182"/>
    </row>
    <row r="118" spans="1:7" x14ac:dyDescent="0.2">
      <c r="C118" s="184"/>
      <c r="D118" s="184"/>
      <c r="E118" s="184"/>
      <c r="F118" s="184"/>
      <c r="G118" s="184"/>
    </row>
    <row r="186" spans="19:19" x14ac:dyDescent="0.2">
      <c r="S186" s="193"/>
    </row>
  </sheetData>
  <sheetProtection algorithmName="SHA-512" hashValue="gNxzgYo65Wi9GblQiLtu+tis/B3Y0eMmHN2UlPEGrFl1quoDjJD1QHwioi3LJZ0Dr5g0gLVtyWTmroBMPBH18g==" saltValue="zuC9SBvBO1YctXpeesUHCA==" spinCount="100000" sheet="1" objects="1" scenarios="1"/>
  <dataConsolidate/>
  <mergeCells count="313">
    <mergeCell ref="R24:S24"/>
    <mergeCell ref="T24:U24"/>
    <mergeCell ref="H24:P24"/>
    <mergeCell ref="D52:L52"/>
    <mergeCell ref="Q53:U53"/>
    <mergeCell ref="X25:AC25"/>
    <mergeCell ref="AA82:AB82"/>
    <mergeCell ref="AA83:AB83"/>
    <mergeCell ref="AA84:AB84"/>
    <mergeCell ref="R82:S82"/>
    <mergeCell ref="R83:S83"/>
    <mergeCell ref="R84:S84"/>
    <mergeCell ref="N82:O82"/>
    <mergeCell ref="N83:O83"/>
    <mergeCell ref="N84:O84"/>
    <mergeCell ref="J82:K82"/>
    <mergeCell ref="J83:K83"/>
    <mergeCell ref="J84:K84"/>
    <mergeCell ref="X26:AK26"/>
    <mergeCell ref="X27:AK27"/>
    <mergeCell ref="X28:AK28"/>
    <mergeCell ref="X29:AK29"/>
    <mergeCell ref="X30:AK30"/>
    <mergeCell ref="X31:AK31"/>
    <mergeCell ref="AA85:AB85"/>
    <mergeCell ref="AA86:AB86"/>
    <mergeCell ref="T81:U81"/>
    <mergeCell ref="V82:W82"/>
    <mergeCell ref="V83:W83"/>
    <mergeCell ref="V84:W84"/>
    <mergeCell ref="V85:W85"/>
    <mergeCell ref="V86:W86"/>
    <mergeCell ref="X79:Y79"/>
    <mergeCell ref="X80:Y80"/>
    <mergeCell ref="X81:Y81"/>
    <mergeCell ref="X82:Y82"/>
    <mergeCell ref="X83:Y83"/>
    <mergeCell ref="X84:Y84"/>
    <mergeCell ref="X85:Y85"/>
    <mergeCell ref="X86:Y86"/>
    <mergeCell ref="V79:W79"/>
    <mergeCell ref="V80:W80"/>
    <mergeCell ref="V81:W81"/>
    <mergeCell ref="R85:S85"/>
    <mergeCell ref="R86:S86"/>
    <mergeCell ref="T79:U79"/>
    <mergeCell ref="T80:U80"/>
    <mergeCell ref="T82:U82"/>
    <mergeCell ref="T83:U83"/>
    <mergeCell ref="T84:U84"/>
    <mergeCell ref="T85:U85"/>
    <mergeCell ref="T86:U86"/>
    <mergeCell ref="R79:S79"/>
    <mergeCell ref="R80:S80"/>
    <mergeCell ref="R81:S81"/>
    <mergeCell ref="N85:O85"/>
    <mergeCell ref="N86:O86"/>
    <mergeCell ref="P79:Q79"/>
    <mergeCell ref="P80:Q80"/>
    <mergeCell ref="P81:Q81"/>
    <mergeCell ref="P82:Q82"/>
    <mergeCell ref="P83:Q83"/>
    <mergeCell ref="P84:Q84"/>
    <mergeCell ref="P85:Q85"/>
    <mergeCell ref="P86:Q86"/>
    <mergeCell ref="N79:O79"/>
    <mergeCell ref="N80:O80"/>
    <mergeCell ref="N81:O81"/>
    <mergeCell ref="J85:K85"/>
    <mergeCell ref="J86:K86"/>
    <mergeCell ref="L79:M79"/>
    <mergeCell ref="L80:M80"/>
    <mergeCell ref="L81:M81"/>
    <mergeCell ref="L82:M82"/>
    <mergeCell ref="L83:M83"/>
    <mergeCell ref="L84:M84"/>
    <mergeCell ref="L85:M85"/>
    <mergeCell ref="L86:M86"/>
    <mergeCell ref="J79:K79"/>
    <mergeCell ref="J80:K80"/>
    <mergeCell ref="J81:K81"/>
    <mergeCell ref="F86:G86"/>
    <mergeCell ref="H79:I79"/>
    <mergeCell ref="H80:I80"/>
    <mergeCell ref="H81:I81"/>
    <mergeCell ref="H82:I82"/>
    <mergeCell ref="H83:I83"/>
    <mergeCell ref="H84:I84"/>
    <mergeCell ref="H85:I85"/>
    <mergeCell ref="H86:I86"/>
    <mergeCell ref="B86:C86"/>
    <mergeCell ref="D79:E79"/>
    <mergeCell ref="D80:E80"/>
    <mergeCell ref="D81:E81"/>
    <mergeCell ref="D82:E82"/>
    <mergeCell ref="D83:E83"/>
    <mergeCell ref="D84:E84"/>
    <mergeCell ref="D85:E85"/>
    <mergeCell ref="D86:E86"/>
    <mergeCell ref="A1:H1"/>
    <mergeCell ref="A2:H2"/>
    <mergeCell ref="B79:C79"/>
    <mergeCell ref="B80:C80"/>
    <mergeCell ref="B81:C81"/>
    <mergeCell ref="B82:C82"/>
    <mergeCell ref="B83:C83"/>
    <mergeCell ref="B84:C84"/>
    <mergeCell ref="B85:C85"/>
    <mergeCell ref="F79:G79"/>
    <mergeCell ref="F80:G80"/>
    <mergeCell ref="F81:G81"/>
    <mergeCell ref="F82:G82"/>
    <mergeCell ref="F83:G83"/>
    <mergeCell ref="F84:G84"/>
    <mergeCell ref="F85:G85"/>
    <mergeCell ref="A24:F24"/>
    <mergeCell ref="E13:F13"/>
    <mergeCell ref="E14:F14"/>
    <mergeCell ref="E15:F15"/>
    <mergeCell ref="A18:B18"/>
    <mergeCell ref="A19:B19"/>
    <mergeCell ref="A20:B20"/>
    <mergeCell ref="C16:D16"/>
    <mergeCell ref="C10:D10"/>
    <mergeCell ref="E10:F10"/>
    <mergeCell ref="G10:H10"/>
    <mergeCell ref="C20:D20"/>
    <mergeCell ref="I14:J14"/>
    <mergeCell ref="Q10:R10"/>
    <mergeCell ref="S10:T10"/>
    <mergeCell ref="K11:L11"/>
    <mergeCell ref="K12:L12"/>
    <mergeCell ref="K13:L13"/>
    <mergeCell ref="M13:N13"/>
    <mergeCell ref="K10:L10"/>
    <mergeCell ref="M10:N10"/>
    <mergeCell ref="O10:P10"/>
    <mergeCell ref="S20:T20"/>
    <mergeCell ref="G11:H11"/>
    <mergeCell ref="G12:H12"/>
    <mergeCell ref="G13:H13"/>
    <mergeCell ref="G14:H14"/>
    <mergeCell ref="G15:H15"/>
    <mergeCell ref="G16:H16"/>
    <mergeCell ref="I12:J12"/>
    <mergeCell ref="I13:J13"/>
    <mergeCell ref="I18:J18"/>
    <mergeCell ref="A11:B11"/>
    <mergeCell ref="A12:B12"/>
    <mergeCell ref="A13:B13"/>
    <mergeCell ref="A14:B14"/>
    <mergeCell ref="A15:B15"/>
    <mergeCell ref="E16:F16"/>
    <mergeCell ref="E17:F17"/>
    <mergeCell ref="E11:F11"/>
    <mergeCell ref="C11:D11"/>
    <mergeCell ref="C12:D12"/>
    <mergeCell ref="E12:F12"/>
    <mergeCell ref="C13:D13"/>
    <mergeCell ref="C14:D14"/>
    <mergeCell ref="C15:D15"/>
    <mergeCell ref="A16:B16"/>
    <mergeCell ref="A17:B17"/>
    <mergeCell ref="A22:B22"/>
    <mergeCell ref="C19:D19"/>
    <mergeCell ref="C21:D21"/>
    <mergeCell ref="E22:F22"/>
    <mergeCell ref="M19:N19"/>
    <mergeCell ref="M20:N20"/>
    <mergeCell ref="M21:N21"/>
    <mergeCell ref="M22:N22"/>
    <mergeCell ref="Q22:R22"/>
    <mergeCell ref="O19:P19"/>
    <mergeCell ref="O20:P20"/>
    <mergeCell ref="O21:P21"/>
    <mergeCell ref="O22:P22"/>
    <mergeCell ref="A21:B21"/>
    <mergeCell ref="S22:T22"/>
    <mergeCell ref="C17:D17"/>
    <mergeCell ref="C18:D18"/>
    <mergeCell ref="E19:F19"/>
    <mergeCell ref="C22:D22"/>
    <mergeCell ref="E18:F18"/>
    <mergeCell ref="E20:F20"/>
    <mergeCell ref="E21:F21"/>
    <mergeCell ref="K18:L18"/>
    <mergeCell ref="K19:L19"/>
    <mergeCell ref="I19:J19"/>
    <mergeCell ref="G17:H17"/>
    <mergeCell ref="G18:H18"/>
    <mergeCell ref="G19:H19"/>
    <mergeCell ref="G20:H20"/>
    <mergeCell ref="G21:H21"/>
    <mergeCell ref="G22:H22"/>
    <mergeCell ref="K20:L20"/>
    <mergeCell ref="K21:L21"/>
    <mergeCell ref="I17:J17"/>
    <mergeCell ref="M17:N17"/>
    <mergeCell ref="O18:P18"/>
    <mergeCell ref="S21:T21"/>
    <mergeCell ref="K14:L14"/>
    <mergeCell ref="K15:L15"/>
    <mergeCell ref="K16:L16"/>
    <mergeCell ref="K17:L17"/>
    <mergeCell ref="O14:P14"/>
    <mergeCell ref="O11:P11"/>
    <mergeCell ref="O12:P12"/>
    <mergeCell ref="O13:P13"/>
    <mergeCell ref="O15:P15"/>
    <mergeCell ref="O16:P16"/>
    <mergeCell ref="O17:P17"/>
    <mergeCell ref="M14:N14"/>
    <mergeCell ref="M11:N11"/>
    <mergeCell ref="M12:N12"/>
    <mergeCell ref="M15:N15"/>
    <mergeCell ref="M16:N16"/>
    <mergeCell ref="S14:T14"/>
    <mergeCell ref="S11:T11"/>
    <mergeCell ref="S12:T12"/>
    <mergeCell ref="S13:T13"/>
    <mergeCell ref="S15:T15"/>
    <mergeCell ref="S16:T16"/>
    <mergeCell ref="S17:T17"/>
    <mergeCell ref="S18:T18"/>
    <mergeCell ref="S19:T19"/>
    <mergeCell ref="Q11:R11"/>
    <mergeCell ref="Q12:R12"/>
    <mergeCell ref="Q13:R13"/>
    <mergeCell ref="Q21:R21"/>
    <mergeCell ref="Q17:R17"/>
    <mergeCell ref="Q18:R18"/>
    <mergeCell ref="Q19:R19"/>
    <mergeCell ref="Q14:R14"/>
    <mergeCell ref="Q15:R15"/>
    <mergeCell ref="Q16:R16"/>
    <mergeCell ref="Q20:R20"/>
    <mergeCell ref="U17:V17"/>
    <mergeCell ref="U18:V18"/>
    <mergeCell ref="U19:V19"/>
    <mergeCell ref="U20:V20"/>
    <mergeCell ref="U21:V21"/>
    <mergeCell ref="U22:V22"/>
    <mergeCell ref="W14:X14"/>
    <mergeCell ref="W11:X11"/>
    <mergeCell ref="W12:X12"/>
    <mergeCell ref="W13:X13"/>
    <mergeCell ref="W15:X15"/>
    <mergeCell ref="W16:X16"/>
    <mergeCell ref="W17:X17"/>
    <mergeCell ref="W18:X18"/>
    <mergeCell ref="W19:X19"/>
    <mergeCell ref="W20:X20"/>
    <mergeCell ref="W21:X21"/>
    <mergeCell ref="W22:X22"/>
    <mergeCell ref="U14:V14"/>
    <mergeCell ref="U11:V11"/>
    <mergeCell ref="U12:V12"/>
    <mergeCell ref="U13:V13"/>
    <mergeCell ref="U15:V15"/>
    <mergeCell ref="U16:V16"/>
    <mergeCell ref="U10:V10"/>
    <mergeCell ref="W10:X10"/>
    <mergeCell ref="A43:N43"/>
    <mergeCell ref="F44:G44"/>
    <mergeCell ref="F45:G45"/>
    <mergeCell ref="F46:G46"/>
    <mergeCell ref="F47:G47"/>
    <mergeCell ref="F48:G48"/>
    <mergeCell ref="F49:G49"/>
    <mergeCell ref="H44:N44"/>
    <mergeCell ref="H45:N45"/>
    <mergeCell ref="H46:N46"/>
    <mergeCell ref="H47:N47"/>
    <mergeCell ref="H48:N48"/>
    <mergeCell ref="H49:N49"/>
    <mergeCell ref="I20:J20"/>
    <mergeCell ref="I21:J21"/>
    <mergeCell ref="I22:J22"/>
    <mergeCell ref="I10:J10"/>
    <mergeCell ref="K22:L22"/>
    <mergeCell ref="I11:J11"/>
    <mergeCell ref="M18:N18"/>
    <mergeCell ref="I15:J15"/>
    <mergeCell ref="I16:J16"/>
    <mergeCell ref="A9:D9"/>
    <mergeCell ref="C4:H4"/>
    <mergeCell ref="A3:B3"/>
    <mergeCell ref="A4:B4"/>
    <mergeCell ref="A5:B5"/>
    <mergeCell ref="A6:B6"/>
    <mergeCell ref="A7:B7"/>
    <mergeCell ref="A8:B8"/>
    <mergeCell ref="C3:H3"/>
    <mergeCell ref="F5:H5"/>
    <mergeCell ref="X32:AK32"/>
    <mergeCell ref="X33:AK33"/>
    <mergeCell ref="X34:AK34"/>
    <mergeCell ref="X35:AK35"/>
    <mergeCell ref="X36:AK36"/>
    <mergeCell ref="X37:AK37"/>
    <mergeCell ref="X38:AK38"/>
    <mergeCell ref="X39:AK39"/>
    <mergeCell ref="X40:AK40"/>
    <mergeCell ref="Q63:AB63"/>
    <mergeCell ref="Q54:AB54"/>
    <mergeCell ref="Q55:AB55"/>
    <mergeCell ref="Q56:AB56"/>
    <mergeCell ref="Q57:AB57"/>
    <mergeCell ref="Q58:AB58"/>
    <mergeCell ref="Q59:AB59"/>
    <mergeCell ref="Q60:AB60"/>
    <mergeCell ref="Q61:AB61"/>
    <mergeCell ref="Q62:AB62"/>
  </mergeCells>
  <conditionalFormatting sqref="B32">
    <cfRule type="expression" dxfId="350" priority="446">
      <formula>AND(NOT(ISBLANK($A$32)),ISBLANK($B$32))</formula>
    </cfRule>
  </conditionalFormatting>
  <conditionalFormatting sqref="A32">
    <cfRule type="expression" dxfId="349" priority="445">
      <formula>AND(NOT(ISBLANK($B$32)),ISBLANK($A$32))</formula>
    </cfRule>
  </conditionalFormatting>
  <conditionalFormatting sqref="A27">
    <cfRule type="expression" dxfId="348" priority="444">
      <formula>AND(NOT(ISBLANK($B$27)),ISBLANK($A$27))</formula>
    </cfRule>
  </conditionalFormatting>
  <conditionalFormatting sqref="A28">
    <cfRule type="expression" dxfId="347" priority="443">
      <formula>AND(NOT(ISBLANK($B$28)),ISBLANK($A$28))</formula>
    </cfRule>
  </conditionalFormatting>
  <conditionalFormatting sqref="A29">
    <cfRule type="expression" dxfId="346" priority="442">
      <formula>AND(NOT(ISBLANK($B$29)),ISBLANK($A$29))</formula>
    </cfRule>
  </conditionalFormatting>
  <conditionalFormatting sqref="A30">
    <cfRule type="expression" dxfId="345" priority="441">
      <formula>AND(NOT(ISBLANK($B$30)),ISBLANK($A$30))</formula>
    </cfRule>
  </conditionalFormatting>
  <conditionalFormatting sqref="A31">
    <cfRule type="expression" dxfId="344" priority="440">
      <formula>AND(NOT(ISBLANK($B$31)),ISBLANK($A$31))</formula>
    </cfRule>
  </conditionalFormatting>
  <conditionalFormatting sqref="A33">
    <cfRule type="expression" dxfId="343" priority="439">
      <formula>AND(NOT(ISBLANK($B$33)),ISBLANK($A$33))</formula>
    </cfRule>
  </conditionalFormatting>
  <conditionalFormatting sqref="A34">
    <cfRule type="expression" dxfId="342" priority="438">
      <formula>AND(NOT(ISBLANK($B$34)),ISBLANK($A$34))</formula>
    </cfRule>
  </conditionalFormatting>
  <conditionalFormatting sqref="A35">
    <cfRule type="expression" dxfId="341" priority="437">
      <formula>AND(NOT(ISBLANK($B$35)),ISBLANK($A$35))</formula>
    </cfRule>
  </conditionalFormatting>
  <conditionalFormatting sqref="A36">
    <cfRule type="expression" dxfId="340" priority="436">
      <formula>AND(NOT(ISBLANK($B$36)),ISBLANK($A$36))</formula>
    </cfRule>
  </conditionalFormatting>
  <conditionalFormatting sqref="A37">
    <cfRule type="expression" dxfId="339" priority="435">
      <formula>AND(NOT(ISBLANK($B$37)),ISBLANK($A$37))</formula>
    </cfRule>
  </conditionalFormatting>
  <conditionalFormatting sqref="A38">
    <cfRule type="expression" dxfId="338" priority="434">
      <formula>AND(NOT(ISBLANK($B$38)),ISBLANK($A$38))</formula>
    </cfRule>
  </conditionalFormatting>
  <conditionalFormatting sqref="A39">
    <cfRule type="expression" dxfId="337" priority="433">
      <formula>AND(NOT(ISBLANK($B$39)),ISBLANK($A$39))</formula>
    </cfRule>
  </conditionalFormatting>
  <conditionalFormatting sqref="A40">
    <cfRule type="expression" dxfId="336" priority="432">
      <formula>AND(NOT(ISBLANK($B$40)),ISBLANK($A$40))</formula>
    </cfRule>
  </conditionalFormatting>
  <conditionalFormatting sqref="B26">
    <cfRule type="expression" dxfId="335" priority="431">
      <formula>ISBLANK($B$26)</formula>
    </cfRule>
  </conditionalFormatting>
  <conditionalFormatting sqref="B27">
    <cfRule type="expression" dxfId="334" priority="430">
      <formula>AND(NOT(ISBLANK($A$27)),ISBLANK($B$27))</formula>
    </cfRule>
  </conditionalFormatting>
  <conditionalFormatting sqref="B28">
    <cfRule type="expression" dxfId="333" priority="429">
      <formula>AND(NOT(ISBLANK($A$28)),ISBLANK($B$28))</formula>
    </cfRule>
  </conditionalFormatting>
  <conditionalFormatting sqref="B29">
    <cfRule type="expression" dxfId="332" priority="428">
      <formula>AND(NOT(ISBLANK($A$29)),ISBLANK($B$29))</formula>
    </cfRule>
  </conditionalFormatting>
  <conditionalFormatting sqref="B30">
    <cfRule type="expression" dxfId="331" priority="427">
      <formula>AND(NOT(ISBLANK($A$30)),ISBLANK($B$30))</formula>
    </cfRule>
  </conditionalFormatting>
  <conditionalFormatting sqref="B31">
    <cfRule type="expression" dxfId="330" priority="426">
      <formula>AND(NOT(ISBLANK($A$31)),ISBLANK($B$31))</formula>
    </cfRule>
  </conditionalFormatting>
  <conditionalFormatting sqref="B33">
    <cfRule type="expression" dxfId="329" priority="425">
      <formula>AND(NOT(ISBLANK($A$33)),ISBLANK($B$33))</formula>
    </cfRule>
  </conditionalFormatting>
  <conditionalFormatting sqref="B34">
    <cfRule type="expression" dxfId="328" priority="424">
      <formula>AND(NOT(ISBLANK($A$34)),ISBLANK($B$34))</formula>
    </cfRule>
  </conditionalFormatting>
  <conditionalFormatting sqref="B35">
    <cfRule type="expression" dxfId="327" priority="423">
      <formula>AND(NOT(ISBLANK($A$35)),ISBLANK($B$35))</formula>
    </cfRule>
  </conditionalFormatting>
  <conditionalFormatting sqref="B36">
    <cfRule type="expression" dxfId="326" priority="422">
      <formula>AND(NOT(ISBLANK($A$36)),ISBLANK($B$36))</formula>
    </cfRule>
  </conditionalFormatting>
  <conditionalFormatting sqref="B37">
    <cfRule type="expression" dxfId="325" priority="421">
      <formula>AND(NOT(ISBLANK($A$37)),ISBLANK($B$37))</formula>
    </cfRule>
  </conditionalFormatting>
  <conditionalFormatting sqref="B38">
    <cfRule type="expression" dxfId="324" priority="420">
      <formula>AND(NOT(ISBLANK($A$38)),ISBLANK($B$38))</formula>
    </cfRule>
  </conditionalFormatting>
  <conditionalFormatting sqref="B39">
    <cfRule type="expression" dxfId="323" priority="419">
      <formula>AND(NOT(ISBLANK($A$39)),ISBLANK($B$39))</formula>
    </cfRule>
  </conditionalFormatting>
  <conditionalFormatting sqref="B40">
    <cfRule type="expression" dxfId="322" priority="418">
      <formula>AND(NOT(ISBLANK($A$40)),ISBLANK($B$40))</formula>
    </cfRule>
  </conditionalFormatting>
  <conditionalFormatting sqref="A54">
    <cfRule type="expression" dxfId="321" priority="417">
      <formula>AND(NOT(ISBLANK($B$54)),ISBLANK($A$54))</formula>
    </cfRule>
  </conditionalFormatting>
  <conditionalFormatting sqref="A55">
    <cfRule type="expression" dxfId="320" priority="416">
      <formula>AND(NOT(ISBLANK($B$55)),ISBLANK($A$55))</formula>
    </cfRule>
  </conditionalFormatting>
  <conditionalFormatting sqref="A56">
    <cfRule type="expression" dxfId="319" priority="415">
      <formula>AND(NOT(ISBLANK($B$56)),ISBLANK($A$56))</formula>
    </cfRule>
  </conditionalFormatting>
  <conditionalFormatting sqref="A57">
    <cfRule type="expression" dxfId="318" priority="414">
      <formula>AND(NOT(ISBLANK($B$57)),ISBLANK($A$57))</formula>
    </cfRule>
  </conditionalFormatting>
  <conditionalFormatting sqref="A58">
    <cfRule type="expression" dxfId="317" priority="413">
      <formula>AND(NOT(ISBLANK($B$58)),ISBLANK($A$58))</formula>
    </cfRule>
  </conditionalFormatting>
  <conditionalFormatting sqref="A59">
    <cfRule type="expression" dxfId="316" priority="412">
      <formula>AND(NOT(ISBLANK($B$59)),ISBLANK($A$59))</formula>
    </cfRule>
  </conditionalFormatting>
  <conditionalFormatting sqref="A60">
    <cfRule type="expression" dxfId="315" priority="411">
      <formula>AND(NOT(ISBLANK($B$60)),ISBLANK($A$60))</formula>
    </cfRule>
  </conditionalFormatting>
  <conditionalFormatting sqref="A61">
    <cfRule type="expression" dxfId="314" priority="410">
      <formula>AND(NOT(ISBLANK($B$61)),ISBLANK($A$61))</formula>
    </cfRule>
  </conditionalFormatting>
  <conditionalFormatting sqref="A62">
    <cfRule type="expression" dxfId="313" priority="409">
      <formula>AND(NOT(ISBLANK($B$62)),ISBLANK($A$62))</formula>
    </cfRule>
  </conditionalFormatting>
  <conditionalFormatting sqref="A63">
    <cfRule type="expression" dxfId="312" priority="408">
      <formula>AND(NOT(ISBLANK($B$63)),ISBLANK($A$63))</formula>
    </cfRule>
  </conditionalFormatting>
  <conditionalFormatting sqref="B54">
    <cfRule type="expression" dxfId="311" priority="407">
      <formula>AND(NOT(ISBLANK($A$54)),ISBLANK($B$54))</formula>
    </cfRule>
  </conditionalFormatting>
  <conditionalFormatting sqref="B55">
    <cfRule type="expression" dxfId="310" priority="406">
      <formula>AND(NOT(ISBLANK($A$55)),ISBLANK($B$55))</formula>
    </cfRule>
  </conditionalFormatting>
  <conditionalFormatting sqref="B56">
    <cfRule type="expression" dxfId="309" priority="405">
      <formula>AND(NOT(ISBLANK($A$56)),ISBLANK($B$56))</formula>
    </cfRule>
  </conditionalFormatting>
  <conditionalFormatting sqref="B57">
    <cfRule type="expression" dxfId="308" priority="404">
      <formula>AND(NOT(ISBLANK($A$57)),ISBLANK($B$57))</formula>
    </cfRule>
  </conditionalFormatting>
  <conditionalFormatting sqref="B58">
    <cfRule type="expression" dxfId="307" priority="403">
      <formula>AND(NOT(ISBLANK($A$58)),ISBLANK($B$58))</formula>
    </cfRule>
  </conditionalFormatting>
  <conditionalFormatting sqref="B59">
    <cfRule type="expression" dxfId="306" priority="402">
      <formula>AND(NOT(ISBLANK($A$59)),ISBLANK($B$59))</formula>
    </cfRule>
  </conditionalFormatting>
  <conditionalFormatting sqref="B60">
    <cfRule type="expression" dxfId="305" priority="401">
      <formula>AND(NOT(ISBLANK($A$60)),ISBLANK($B$60))</formula>
    </cfRule>
  </conditionalFormatting>
  <conditionalFormatting sqref="B61">
    <cfRule type="expression" dxfId="304" priority="400">
      <formula>AND(NOT(ISBLANK($A$61)),ISBLANK($B$61))</formula>
    </cfRule>
  </conditionalFormatting>
  <conditionalFormatting sqref="B62">
    <cfRule type="expression" dxfId="303" priority="399">
      <formula>AND(NOT(ISBLANK($A$62)),ISBLANK($B$62))</formula>
    </cfRule>
  </conditionalFormatting>
  <conditionalFormatting sqref="B63">
    <cfRule type="expression" dxfId="302" priority="398">
      <formula>AND(NOT(ISBLANK($A$63)),ISBLANK($B$63))</formula>
    </cfRule>
  </conditionalFormatting>
  <conditionalFormatting sqref="A48:D48 F48:H48">
    <cfRule type="expression" dxfId="301" priority="382">
      <formula>NOT(4&lt;=AntalPost)</formula>
    </cfRule>
  </conditionalFormatting>
  <conditionalFormatting sqref="A47:B47 F47:H47 D47">
    <cfRule type="expression" dxfId="300" priority="380">
      <formula>NOT(3&lt;=AntalPost)</formula>
    </cfRule>
  </conditionalFormatting>
  <conditionalFormatting sqref="A49:D49 F49:H49">
    <cfRule type="expression" dxfId="299" priority="379">
      <formula>NOT(5&lt;=AntalPost)</formula>
    </cfRule>
  </conditionalFormatting>
  <conditionalFormatting sqref="A46:D46 F46:H46">
    <cfRule type="expression" dxfId="298" priority="378">
      <formula>NOT(2&lt;=AntalPost)</formula>
    </cfRule>
  </conditionalFormatting>
  <conditionalFormatting sqref="B45:H45 E46:E49">
    <cfRule type="expression" dxfId="297" priority="377">
      <formula>NOT(1&lt;=AntalPost)</formula>
    </cfRule>
  </conditionalFormatting>
  <conditionalFormatting sqref="C6">
    <cfRule type="expression" dxfId="296" priority="376">
      <formula>ISBLANK($C$6)</formula>
    </cfRule>
  </conditionalFormatting>
  <conditionalFormatting sqref="C7">
    <cfRule type="expression" dxfId="295" priority="375">
      <formula>ISBLANK($C$7)</formula>
    </cfRule>
  </conditionalFormatting>
  <conditionalFormatting sqref="H26:N40">
    <cfRule type="expression" dxfId="294" priority="14">
      <formula>AND(NOT(ISBLANK(H26)),OR(VALUE(H$25)&lt;YEAR(ProjektStart),VALUE(H$25)&gt;YEAR(ProjektSlut)))</formula>
    </cfRule>
    <cfRule type="expression" dxfId="293" priority="372">
      <formula>OR(VALUE(H$25)&lt;YEAR(ProjektStart),VALUE(H$25)&gt;YEAR(ProjektSlut))</formula>
    </cfRule>
  </conditionalFormatting>
  <conditionalFormatting sqref="D54:J63">
    <cfRule type="expression" dxfId="292" priority="15">
      <formula>AND(NOT(ISBLANK(D54)),OR(VALUE(D$53)&lt;YEAR(ProjektStart),VALUE(D$53)&gt;YEAR(ProjektSlut)))</formula>
    </cfRule>
    <cfRule type="expression" dxfId="291" priority="371">
      <formula>OR(VALUE(D$53)&lt;YEAR(ProjektStart),VALUE(D$53)&gt;YEAR(ProjektSlut))</formula>
    </cfRule>
  </conditionalFormatting>
  <conditionalFormatting sqref="C4:H4">
    <cfRule type="expression" dxfId="290" priority="370">
      <formula>ISBLANK($C$4)</formula>
    </cfRule>
  </conditionalFormatting>
  <conditionalFormatting sqref="D5">
    <cfRule type="expression" dxfId="289" priority="369">
      <formula>ISBLANK($D$5)</formula>
    </cfRule>
  </conditionalFormatting>
  <conditionalFormatting sqref="F5:H5">
    <cfRule type="expression" dxfId="288" priority="368">
      <formula>ISBLANK($F$5)</formula>
    </cfRule>
  </conditionalFormatting>
  <conditionalFormatting sqref="C11:D11">
    <cfRule type="expression" dxfId="287" priority="192">
      <formula>$C$11=""</formula>
    </cfRule>
  </conditionalFormatting>
  <conditionalFormatting sqref="E12:F12">
    <cfRule type="expression" dxfId="286" priority="191">
      <formula>$E$12=""</formula>
    </cfRule>
  </conditionalFormatting>
  <conditionalFormatting sqref="C14:D14">
    <cfRule type="expression" dxfId="285" priority="189">
      <formula>$C$14=""</formula>
    </cfRule>
  </conditionalFormatting>
  <conditionalFormatting sqref="C17:D17">
    <cfRule type="expression" dxfId="284" priority="188">
      <formula>$C$17=""</formula>
    </cfRule>
  </conditionalFormatting>
  <conditionalFormatting sqref="C19:D19">
    <cfRule type="expression" dxfId="283" priority="187">
      <formula>$C$19=""</formula>
    </cfRule>
  </conditionalFormatting>
  <conditionalFormatting sqref="C20:D20">
    <cfRule type="expression" dxfId="282" priority="186">
      <formula>$C$20=""</formula>
    </cfRule>
  </conditionalFormatting>
  <conditionalFormatting sqref="C21:D21">
    <cfRule type="expression" dxfId="281" priority="185">
      <formula>$C$21=""</formula>
    </cfRule>
  </conditionalFormatting>
  <conditionalFormatting sqref="C12 C14:C15 C17:C22">
    <cfRule type="expression" dxfId="280" priority="30">
      <formula>IFERROR(VLOOKUP($C$11, INDIRECT("InstitutionerTabel"), 1, FALSE), "")&lt;&gt;""</formula>
    </cfRule>
  </conditionalFormatting>
  <conditionalFormatting sqref="E11:F11">
    <cfRule type="expression" dxfId="279" priority="182">
      <formula>$E$11=""</formula>
    </cfRule>
  </conditionalFormatting>
  <conditionalFormatting sqref="E14:F14">
    <cfRule type="expression" dxfId="278" priority="179">
      <formula>$E$14=""</formula>
    </cfRule>
  </conditionalFormatting>
  <conditionalFormatting sqref="E17:F17">
    <cfRule type="expression" dxfId="277" priority="178">
      <formula>$E$17=""</formula>
    </cfRule>
  </conditionalFormatting>
  <conditionalFormatting sqref="E19:F19">
    <cfRule type="expression" dxfId="276" priority="177">
      <formula>$E$19=""</formula>
    </cfRule>
  </conditionalFormatting>
  <conditionalFormatting sqref="E20:F20">
    <cfRule type="expression" dxfId="275" priority="176">
      <formula>$E$20=""</formula>
    </cfRule>
  </conditionalFormatting>
  <conditionalFormatting sqref="E21:F21">
    <cfRule type="expression" dxfId="274" priority="175">
      <formula>$E$21=""</formula>
    </cfRule>
  </conditionalFormatting>
  <conditionalFormatting sqref="E14:E15 E17:E22">
    <cfRule type="expression" dxfId="273" priority="49">
      <formula>IFERROR(VLOOKUP($E$11, INDIRECT("InstitutionerTabel"), 1, FALSE), "")&lt;&gt;""</formula>
    </cfRule>
  </conditionalFormatting>
  <conditionalFormatting sqref="G11:H11">
    <cfRule type="expression" dxfId="272" priority="172">
      <formula>$G$11=""</formula>
    </cfRule>
  </conditionalFormatting>
  <conditionalFormatting sqref="G14:H14">
    <cfRule type="expression" dxfId="271" priority="169">
      <formula>$G$14=""</formula>
    </cfRule>
  </conditionalFormatting>
  <conditionalFormatting sqref="G17:H17">
    <cfRule type="expression" dxfId="270" priority="168">
      <formula>$G$17=""</formula>
    </cfRule>
  </conditionalFormatting>
  <conditionalFormatting sqref="G19:H19">
    <cfRule type="expression" dxfId="269" priority="167">
      <formula>$G$19=""</formula>
    </cfRule>
  </conditionalFormatting>
  <conditionalFormatting sqref="G20:H20">
    <cfRule type="expression" dxfId="268" priority="166">
      <formula>$G$20=""</formula>
    </cfRule>
  </conditionalFormatting>
  <conditionalFormatting sqref="G21:H21">
    <cfRule type="expression" dxfId="267" priority="165">
      <formula>$G$21=""</formula>
    </cfRule>
  </conditionalFormatting>
  <conditionalFormatting sqref="I11:J11">
    <cfRule type="expression" dxfId="266" priority="163">
      <formula>$I$11=""</formula>
    </cfRule>
  </conditionalFormatting>
  <conditionalFormatting sqref="I12:J12">
    <cfRule type="expression" dxfId="265" priority="162">
      <formula>$I$12=""</formula>
    </cfRule>
  </conditionalFormatting>
  <conditionalFormatting sqref="I14:J14">
    <cfRule type="expression" dxfId="264" priority="160">
      <formula>$I$14=""</formula>
    </cfRule>
  </conditionalFormatting>
  <conditionalFormatting sqref="I17:J17">
    <cfRule type="expression" dxfId="263" priority="159">
      <formula>$I$17=""</formula>
    </cfRule>
  </conditionalFormatting>
  <conditionalFormatting sqref="I19:J19">
    <cfRule type="expression" dxfId="262" priority="158">
      <formula>$I$19=""</formula>
    </cfRule>
  </conditionalFormatting>
  <conditionalFormatting sqref="I20:J20">
    <cfRule type="expression" dxfId="261" priority="157">
      <formula>$I$20=""</formula>
    </cfRule>
  </conditionalFormatting>
  <conditionalFormatting sqref="I21:J21">
    <cfRule type="expression" dxfId="260" priority="156">
      <formula>$I$21=""</formula>
    </cfRule>
  </conditionalFormatting>
  <conditionalFormatting sqref="K11:L11">
    <cfRule type="expression" dxfId="259" priority="154">
      <formula>$K$11=""</formula>
    </cfRule>
  </conditionalFormatting>
  <conditionalFormatting sqref="K12:L12">
    <cfRule type="expression" dxfId="258" priority="153">
      <formula>$K$12=""</formula>
    </cfRule>
  </conditionalFormatting>
  <conditionalFormatting sqref="K14:L14">
    <cfRule type="expression" dxfId="257" priority="151">
      <formula>$K$14=""</formula>
    </cfRule>
  </conditionalFormatting>
  <conditionalFormatting sqref="K17:L17">
    <cfRule type="expression" dxfId="256" priority="150">
      <formula>$K$17=""</formula>
    </cfRule>
  </conditionalFormatting>
  <conditionalFormatting sqref="K19:L19">
    <cfRule type="expression" dxfId="255" priority="149">
      <formula>$K$19=""</formula>
    </cfRule>
  </conditionalFormatting>
  <conditionalFormatting sqref="K20:L20">
    <cfRule type="expression" dxfId="254" priority="148">
      <formula>$K$20=""</formula>
    </cfRule>
  </conditionalFormatting>
  <conditionalFormatting sqref="K21:L21">
    <cfRule type="expression" dxfId="253" priority="147">
      <formula>$K$21=""</formula>
    </cfRule>
  </conditionalFormatting>
  <conditionalFormatting sqref="M11:N11">
    <cfRule type="expression" dxfId="252" priority="145">
      <formula>$M$11=""</formula>
    </cfRule>
  </conditionalFormatting>
  <conditionalFormatting sqref="M12:N12">
    <cfRule type="expression" dxfId="251" priority="144">
      <formula>$M$12=""</formula>
    </cfRule>
  </conditionalFormatting>
  <conditionalFormatting sqref="M14:N14">
    <cfRule type="expression" dxfId="250" priority="142">
      <formula>$M$14=""</formula>
    </cfRule>
  </conditionalFormatting>
  <conditionalFormatting sqref="M17:N17">
    <cfRule type="expression" dxfId="249" priority="141">
      <formula>$M$17=""</formula>
    </cfRule>
  </conditionalFormatting>
  <conditionalFormatting sqref="M19:N19">
    <cfRule type="expression" dxfId="248" priority="140">
      <formula>$M$19=""</formula>
    </cfRule>
  </conditionalFormatting>
  <conditionalFormatting sqref="M20:N20">
    <cfRule type="expression" dxfId="247" priority="139">
      <formula>$M$20=""</formula>
    </cfRule>
  </conditionalFormatting>
  <conditionalFormatting sqref="M21:N21">
    <cfRule type="expression" dxfId="246" priority="138">
      <formula>$M$21=""</formula>
    </cfRule>
  </conditionalFormatting>
  <conditionalFormatting sqref="O11:P11">
    <cfRule type="expression" dxfId="245" priority="136">
      <formula>$O$11=""</formula>
    </cfRule>
  </conditionalFormatting>
  <conditionalFormatting sqref="O12:P12">
    <cfRule type="expression" dxfId="244" priority="135">
      <formula>$O$12=""</formula>
    </cfRule>
  </conditionalFormatting>
  <conditionalFormatting sqref="O14:P14">
    <cfRule type="expression" dxfId="243" priority="133">
      <formula>$O$14=""</formula>
    </cfRule>
  </conditionalFormatting>
  <conditionalFormatting sqref="O17:P17">
    <cfRule type="expression" dxfId="242" priority="132">
      <formula>$O$17=""</formula>
    </cfRule>
  </conditionalFormatting>
  <conditionalFormatting sqref="O19:P19">
    <cfRule type="expression" dxfId="241" priority="131">
      <formula>$O$19=""</formula>
    </cfRule>
  </conditionalFormatting>
  <conditionalFormatting sqref="O20:P20">
    <cfRule type="expression" dxfId="240" priority="130">
      <formula>$O$20=""</formula>
    </cfRule>
  </conditionalFormatting>
  <conditionalFormatting sqref="O21:P21">
    <cfRule type="expression" dxfId="239" priority="129">
      <formula>$O$21=""</formula>
    </cfRule>
  </conditionalFormatting>
  <conditionalFormatting sqref="Q11:R11">
    <cfRule type="expression" dxfId="238" priority="127">
      <formula>$Q$11=""</formula>
    </cfRule>
  </conditionalFormatting>
  <conditionalFormatting sqref="Q12:R12">
    <cfRule type="expression" dxfId="237" priority="126">
      <formula>$Q$12=""</formula>
    </cfRule>
  </conditionalFormatting>
  <conditionalFormatting sqref="Q14:R14">
    <cfRule type="expression" dxfId="236" priority="124">
      <formula>$Q$14=""</formula>
    </cfRule>
  </conditionalFormatting>
  <conditionalFormatting sqref="Q17:R17">
    <cfRule type="expression" dxfId="235" priority="123">
      <formula>$Q$17=""</formula>
    </cfRule>
  </conditionalFormatting>
  <conditionalFormatting sqref="Q19:R19">
    <cfRule type="expression" dxfId="234" priority="122">
      <formula>$Q$19=""</formula>
    </cfRule>
  </conditionalFormatting>
  <conditionalFormatting sqref="Q20:R20">
    <cfRule type="expression" dxfId="233" priority="121">
      <formula>$Q$20=""</formula>
    </cfRule>
  </conditionalFormatting>
  <conditionalFormatting sqref="Q21:R21">
    <cfRule type="expression" dxfId="232" priority="120">
      <formula>$Q$21=""</formula>
    </cfRule>
  </conditionalFormatting>
  <conditionalFormatting sqref="S11:T11">
    <cfRule type="expression" dxfId="231" priority="118">
      <formula>$S$11=""</formula>
    </cfRule>
  </conditionalFormatting>
  <conditionalFormatting sqref="S12:T12">
    <cfRule type="expression" dxfId="230" priority="117">
      <formula>$S$12=""</formula>
    </cfRule>
  </conditionalFormatting>
  <conditionalFormatting sqref="S14:T14">
    <cfRule type="expression" dxfId="229" priority="115">
      <formula>$S$14=""</formula>
    </cfRule>
  </conditionalFormatting>
  <conditionalFormatting sqref="S17:T17">
    <cfRule type="expression" dxfId="228" priority="114">
      <formula>$S$17=""</formula>
    </cfRule>
  </conditionalFormatting>
  <conditionalFormatting sqref="S19:T19">
    <cfRule type="expression" dxfId="227" priority="113">
      <formula>$S$19=""</formula>
    </cfRule>
  </conditionalFormatting>
  <conditionalFormatting sqref="S20:T20">
    <cfRule type="expression" dxfId="226" priority="112">
      <formula>$S$20=""</formula>
    </cfRule>
  </conditionalFormatting>
  <conditionalFormatting sqref="S21:T21">
    <cfRule type="expression" dxfId="225" priority="111">
      <formula>$S$21=""</formula>
    </cfRule>
  </conditionalFormatting>
  <conditionalFormatting sqref="U11:V11">
    <cfRule type="expression" dxfId="224" priority="109">
      <formula>$U$11=""</formula>
    </cfRule>
  </conditionalFormatting>
  <conditionalFormatting sqref="U12:V12">
    <cfRule type="expression" dxfId="223" priority="108">
      <formula>$U$12=""</formula>
    </cfRule>
  </conditionalFormatting>
  <conditionalFormatting sqref="U14:V14">
    <cfRule type="expression" dxfId="222" priority="106">
      <formula>$U$14=""</formula>
    </cfRule>
  </conditionalFormatting>
  <conditionalFormatting sqref="U17:V17">
    <cfRule type="expression" dxfId="221" priority="105">
      <formula>$U$17=""</formula>
    </cfRule>
  </conditionalFormatting>
  <conditionalFormatting sqref="U19:V19">
    <cfRule type="expression" dxfId="220" priority="104">
      <formula>$U$19=""</formula>
    </cfRule>
  </conditionalFormatting>
  <conditionalFormatting sqref="U20:V20">
    <cfRule type="expression" dxfId="219" priority="103">
      <formula>$U$20=""</formula>
    </cfRule>
  </conditionalFormatting>
  <conditionalFormatting sqref="U21:V21">
    <cfRule type="expression" dxfId="218" priority="102">
      <formula>$U$21=""</formula>
    </cfRule>
  </conditionalFormatting>
  <conditionalFormatting sqref="W11:X11">
    <cfRule type="expression" dxfId="217" priority="100">
      <formula>$W$11=""</formula>
    </cfRule>
  </conditionalFormatting>
  <conditionalFormatting sqref="W12:X12">
    <cfRule type="expression" dxfId="216" priority="99">
      <formula>$W$12=""</formula>
    </cfRule>
  </conditionalFormatting>
  <conditionalFormatting sqref="W14:X14">
    <cfRule type="expression" dxfId="215" priority="96">
      <formula>$W$14=""</formula>
    </cfRule>
  </conditionalFormatting>
  <conditionalFormatting sqref="W17:X17">
    <cfRule type="expression" dxfId="214" priority="95">
      <formula>$W$17=""</formula>
    </cfRule>
  </conditionalFormatting>
  <conditionalFormatting sqref="W19:X19">
    <cfRule type="expression" dxfId="213" priority="94">
      <formula>$W$19=""</formula>
    </cfRule>
  </conditionalFormatting>
  <conditionalFormatting sqref="W20:X20">
    <cfRule type="expression" dxfId="212" priority="93">
      <formula>$W$20=""</formula>
    </cfRule>
  </conditionalFormatting>
  <conditionalFormatting sqref="W21:X21">
    <cfRule type="expression" dxfId="211" priority="91">
      <formula>$W$21=""</formula>
    </cfRule>
  </conditionalFormatting>
  <conditionalFormatting sqref="G14:G15 G17:G22">
    <cfRule type="expression" dxfId="210" priority="50">
      <formula>IFERROR(VLOOKUP($G$11, INDIRECT("InstitutionerTabel"), 1, FALSE), "")&lt;&gt;""</formula>
    </cfRule>
  </conditionalFormatting>
  <conditionalFormatting sqref="I12 I14:J15 I17:J22">
    <cfRule type="expression" dxfId="209" priority="51">
      <formula>IFERROR(VLOOKUP($I$11, INDIRECT("InstitutionerTabel"), 1, FALSE), "")&lt;&gt;""</formula>
    </cfRule>
  </conditionalFormatting>
  <conditionalFormatting sqref="K12 K14:L15 K17:L22">
    <cfRule type="expression" dxfId="208" priority="52">
      <formula>IFERROR(VLOOKUP($K$11, INDIRECT("InstitutionerTabel"), 1, FALSE), "")&lt;&gt;""</formula>
    </cfRule>
  </conditionalFormatting>
  <conditionalFormatting sqref="M12 M14:N15 M17:N22">
    <cfRule type="expression" dxfId="207" priority="53">
      <formula>IFERROR(VLOOKUP($M$11, INDIRECT("InstitutionerTabel"), 1, FALSE), "")&lt;&gt;""</formula>
    </cfRule>
  </conditionalFormatting>
  <conditionalFormatting sqref="O12 O14:P15 O17:P22">
    <cfRule type="expression" dxfId="206" priority="54">
      <formula>IFERROR(VLOOKUP($O$11, INDIRECT("InstitutionerTabel"), 1, FALSE), "")&lt;&gt;""</formula>
    </cfRule>
  </conditionalFormatting>
  <conditionalFormatting sqref="Q12 Q14:R15 Q17:R22">
    <cfRule type="expression" dxfId="205" priority="55">
      <formula>IFERROR(VLOOKUP($Q$11, INDIRECT("InstitutionerTabel"), 1, FALSE), "")&lt;&gt;""</formula>
    </cfRule>
  </conditionalFormatting>
  <conditionalFormatting sqref="S12 S14:T15 S17:T22">
    <cfRule type="expression" dxfId="204" priority="56">
      <formula>IFERROR(VLOOKUP($S$11, INDIRECT("InstitutionerTabel"), 1, FALSE), "")&lt;&gt;""</formula>
    </cfRule>
  </conditionalFormatting>
  <conditionalFormatting sqref="U12 U14:V15 U17:V22">
    <cfRule type="expression" dxfId="203" priority="57">
      <formula>IFERROR(VLOOKUP($U$11, INDIRECT("InstitutionerTabel"), 1, FALSE), "")&lt;&gt;""</formula>
    </cfRule>
  </conditionalFormatting>
  <conditionalFormatting sqref="W12 W14:X15 W17:X22">
    <cfRule type="expression" dxfId="202" priority="58">
      <formula>IFERROR(VLOOKUP($W$11, INDIRECT("InstitutionerTabel"), 1, FALSE), "")&lt;&gt;""</formula>
    </cfRule>
  </conditionalFormatting>
  <conditionalFormatting sqref="G11:X11 G13:X22 I12:X12">
    <cfRule type="expression" dxfId="201" priority="20">
      <formula>ISBLANK($E$11)</formula>
    </cfRule>
  </conditionalFormatting>
  <conditionalFormatting sqref="I11:X22">
    <cfRule type="expression" dxfId="200" priority="22">
      <formula>ISBLANK($G$11)</formula>
    </cfRule>
  </conditionalFormatting>
  <conditionalFormatting sqref="K11:X22">
    <cfRule type="expression" dxfId="199" priority="23">
      <formula>ISBLANK($I$11)</formula>
    </cfRule>
  </conditionalFormatting>
  <conditionalFormatting sqref="M11:X22">
    <cfRule type="expression" dxfId="198" priority="24">
      <formula>ISBLANK($K$11)</formula>
    </cfRule>
  </conditionalFormatting>
  <conditionalFormatting sqref="O11:X22">
    <cfRule type="expression" dxfId="197" priority="25">
      <formula>ISBLANK($M$11)</formula>
    </cfRule>
  </conditionalFormatting>
  <conditionalFormatting sqref="Q11:X22">
    <cfRule type="expression" dxfId="196" priority="26">
      <formula>ISBLANK($O$11)</formula>
    </cfRule>
  </conditionalFormatting>
  <conditionalFormatting sqref="S11:X22">
    <cfRule type="expression" dxfId="195" priority="27">
      <formula>ISBLANK($Q$11)</formula>
    </cfRule>
  </conditionalFormatting>
  <conditionalFormatting sqref="U11:X22">
    <cfRule type="expression" dxfId="194" priority="28">
      <formula>ISBLANK($S$11)</formula>
    </cfRule>
  </conditionalFormatting>
  <conditionalFormatting sqref="W11:X22">
    <cfRule type="expression" dxfId="193" priority="29">
      <formula>ISBLANK($U$11)</formula>
    </cfRule>
  </conditionalFormatting>
  <conditionalFormatting sqref="C15:D15">
    <cfRule type="expression" dxfId="192" priority="183">
      <formula>AND(OR($C$15="",ISBLANK($C$15)),OR(LEFT($C$12,6)="Danish",$C$21="Denmark"))</formula>
    </cfRule>
  </conditionalFormatting>
  <conditionalFormatting sqref="E15:F15">
    <cfRule type="expression" dxfId="191" priority="81">
      <formula>AND(OR($E$15="",ISBLANK($E$15)),OR(LEFT($E$12,6)="Danish",$E$21="Denmark"))</formula>
    </cfRule>
  </conditionalFormatting>
  <conditionalFormatting sqref="G15:H15">
    <cfRule type="expression" dxfId="190" priority="80">
      <formula>AND(OR($G$15="",ISBLANK($G$15)),OR(LEFT($G$12,6)="Danish",$G$21="Denmark"))</formula>
    </cfRule>
  </conditionalFormatting>
  <conditionalFormatting sqref="I15:J15">
    <cfRule type="expression" dxfId="189" priority="79">
      <formula>AND(OR($I$15="",ISBLANK($I$15)),OR(LEFT($I$12,6)="Danish",$I$21="Denmark"))</formula>
    </cfRule>
  </conditionalFormatting>
  <conditionalFormatting sqref="K15:L15">
    <cfRule type="expression" dxfId="188" priority="78">
      <formula>AND(OR($K$15="",ISBLANK($K$15)),OR(LEFT($K$12,6)="Danish",$K$21="Denmark"))</formula>
    </cfRule>
  </conditionalFormatting>
  <conditionalFormatting sqref="M15:N15">
    <cfRule type="expression" dxfId="187" priority="77">
      <formula>AND(OR($M$15="",ISBLANK($M$15)),OR(LEFT($M$12,6)="Danish",$M$21="Denmark"))</formula>
    </cfRule>
  </conditionalFormatting>
  <conditionalFormatting sqref="O15:P15">
    <cfRule type="expression" dxfId="186" priority="76">
      <formula>AND(OR($O$15="",ISBLANK($O$15)),OR(LEFT($O$12,6)="Danish",$O$21="Denmark"))</formula>
    </cfRule>
  </conditionalFormatting>
  <conditionalFormatting sqref="Q15:R15">
    <cfRule type="expression" dxfId="185" priority="75">
      <formula>AND(OR($Q$15="",ISBLANK($Q$15)),OR(LEFT($Q$12,6)="Danish",$Q$21="Denmark"))</formula>
    </cfRule>
  </conditionalFormatting>
  <conditionalFormatting sqref="S15:T15">
    <cfRule type="expression" dxfId="184" priority="74">
      <formula>AND(OR($S$15="",ISBLANK($S$15)),OR(LEFT($S$12,6)="Danish",$S$21="Denmark"))</formula>
    </cfRule>
  </conditionalFormatting>
  <conditionalFormatting sqref="U15:V15">
    <cfRule type="expression" dxfId="183" priority="73">
      <formula>AND(OR($U$15="",ISBLANK($U$15)),OR(LEFT($U$12,6)="Danish",$U$21="Denmark"))</formula>
    </cfRule>
  </conditionalFormatting>
  <conditionalFormatting sqref="W15:X15">
    <cfRule type="expression" dxfId="182" priority="71">
      <formula>AND(OR($W$15="",ISBLANK($W$15)),OR(LEFT($W$12,6)="Danish",$W$21="Denmark"))</formula>
    </cfRule>
  </conditionalFormatting>
  <conditionalFormatting sqref="C14:D16">
    <cfRule type="expression" dxfId="181" priority="60">
      <formula>AND(OR(ISBLANK($C$15:$D$16),AND($C$15="",$C$16="")),OR(AND(NOT($C$21="Denmark"),NOT(ISBLANK($C$21)),NOT($C$21="")),LEFT($C$12,3)="Non"))</formula>
    </cfRule>
  </conditionalFormatting>
  <conditionalFormatting sqref="E14:F16">
    <cfRule type="expression" dxfId="180" priority="173">
      <formula>AND(OR(ISBLANK($E$15:$F$16),AND($E$15="",$E$16="")),OR(AND(NOT($E$21="Denmark"),NOT(ISBLANK($E$21)),NOT($E$21="")),LEFT($E$12,3)="Non"))</formula>
    </cfRule>
  </conditionalFormatting>
  <conditionalFormatting sqref="G14:H16">
    <cfRule type="expression" dxfId="179" priority="90">
      <formula>AND(OR(ISBLANK($G$15:$H$16),AND($G$15="",$G$16="")),OR(AND(NOT($G$21="Denmark"),NOT(ISBLANK($G$21)),NOT($G$21="")),LEFT($G$12,3)="Non"))</formula>
    </cfRule>
  </conditionalFormatting>
  <conditionalFormatting sqref="I14:J16">
    <cfRule type="expression" dxfId="178" priority="89">
      <formula>AND(OR(ISBLANK($I$15:$J$16),AND($I$15="",$I$16="")),OR(AND(NOT($I$21="Denmark"),NOT(ISBLANK($I$21)),NOT($I$21="")),LEFT($I$12,3)="Non"))</formula>
    </cfRule>
  </conditionalFormatting>
  <conditionalFormatting sqref="K14:L16">
    <cfRule type="expression" dxfId="177" priority="88">
      <formula>AND(OR(ISBLANK($K$15:$L$16),AND($K$15="",$K$16="")),OR(AND(NOT($K$21="Denmark"),NOT(ISBLANK($K$21)),NOT($K$21="")),LEFT($K$12,3)="Non"))</formula>
    </cfRule>
  </conditionalFormatting>
  <conditionalFormatting sqref="M14:N16">
    <cfRule type="expression" dxfId="176" priority="87">
      <formula>AND(OR(ISBLANK($M$15:$N$16),AND($M$15="",$M$16="")),OR(AND(NOT($M$21="Denmark"),NOT(ISBLANK($M$21)),NOT($M$21="")),LEFT($M$12,3)="Non"))</formula>
    </cfRule>
  </conditionalFormatting>
  <conditionalFormatting sqref="O14:P16">
    <cfRule type="expression" dxfId="175" priority="86">
      <formula>AND(OR(ISBLANK($O$15:$P$16),AND($O$15="",$O$16="")),OR(AND(NOT($O$21="Denmark"),NOT(ISBLANK($O$21)),NOT($O$21="")),LEFT($O$12,3)="Non"))</formula>
    </cfRule>
  </conditionalFormatting>
  <conditionalFormatting sqref="Q14:R16">
    <cfRule type="expression" dxfId="174" priority="85">
      <formula>AND(OR(ISBLANK($Q$15:$R$16),AND($Q$15="",$Q$16="")),OR(AND(NOT($Q$21="Denmark"),NOT(ISBLANK($Q$21)),NOT($Q$21="")),LEFT($Q$12,3)="Non"))</formula>
    </cfRule>
  </conditionalFormatting>
  <conditionalFormatting sqref="S14:T16">
    <cfRule type="expression" dxfId="173" priority="84">
      <formula>AND(OR(ISBLANK($S$15:$T$16),AND($S$15="",$S$16="")),OR(AND(NOT($S$21="Denmark"),NOT(ISBLANK($S$21)),NOT($S$21="")),LEFT($S$12,3)="Non"))</formula>
    </cfRule>
  </conditionalFormatting>
  <conditionalFormatting sqref="U14:V16">
    <cfRule type="expression" dxfId="172" priority="83">
      <formula>AND(OR(ISBLANK($U$15:$V$16),AND($U$15="",$U$16="")),OR(AND(NOT($U$21="Denmark"),NOT(ISBLANK($U$21)),NOT($U$21="")),LEFT($U$12,3)="Non"))</formula>
    </cfRule>
  </conditionalFormatting>
  <conditionalFormatting sqref="W14:X16">
    <cfRule type="expression" dxfId="171" priority="82">
      <formula>AND(OR(ISBLANK($W$15:$X$16),AND($W$15="",$W$16="")),OR(AND(NOT($W$21="Denmark"),NOT(ISBLANK($W$21)),NOT($W$21="")),LEFT($W$12,3)="Non"))</formula>
    </cfRule>
  </conditionalFormatting>
  <conditionalFormatting sqref="C47">
    <cfRule type="expression" dxfId="170" priority="48">
      <formula>NOT(3&lt;=AntalPost)</formula>
    </cfRule>
  </conditionalFormatting>
  <conditionalFormatting sqref="C3">
    <cfRule type="expression" dxfId="169" priority="32">
      <formula>ISBLANK($C$3)</formula>
    </cfRule>
  </conditionalFormatting>
  <conditionalFormatting sqref="B73:H77 B69:H71 B82:Y86 B67:I68 I69:I70 L67:M70 B72:I72 D73:I74 L72:M74">
    <cfRule type="cellIs" dxfId="168" priority="31" operator="equal">
      <formula>0</formula>
    </cfRule>
  </conditionalFormatting>
  <conditionalFormatting sqref="C22:D22">
    <cfRule type="expression" dxfId="167" priority="59">
      <formula>AND(OR($C$22="",ISBLANK($C$22)),OR(LEFT($C$12,3)="Non",AND(NOT($C$21="Denmark"),NOT(ISBLANK($C$21)),NOT($C$21=""))))</formula>
    </cfRule>
  </conditionalFormatting>
  <conditionalFormatting sqref="M71 M75">
    <cfRule type="cellIs" dxfId="166" priority="19" operator="equal">
      <formula>0</formula>
    </cfRule>
  </conditionalFormatting>
  <conditionalFormatting sqref="L71 L75">
    <cfRule type="cellIs" dxfId="165" priority="18" operator="equal">
      <formula>0</formula>
    </cfRule>
  </conditionalFormatting>
  <conditionalFormatting sqref="I71 I75:I77">
    <cfRule type="cellIs" dxfId="164" priority="17" operator="equal">
      <formula>0</formula>
    </cfRule>
  </conditionalFormatting>
  <conditionalFormatting sqref="AA82:AB86">
    <cfRule type="cellIs" dxfId="163" priority="16" operator="equal">
      <formula>0</formula>
    </cfRule>
  </conditionalFormatting>
  <conditionalFormatting sqref="E11:X22">
    <cfRule type="expression" dxfId="162" priority="12">
      <formula>ISBLANK($C$11)</formula>
    </cfRule>
  </conditionalFormatting>
  <conditionalFormatting sqref="C12:D12">
    <cfRule type="expression" dxfId="161" priority="11">
      <formula>$C$12=""</formula>
    </cfRule>
  </conditionalFormatting>
  <conditionalFormatting sqref="E12 E14:E15 E17:E22">
    <cfRule type="expression" dxfId="160" priority="10">
      <formula>IFERROR(VLOOKUP($E$11, INDIRECT("InstitutionerTabel"), 1, FALSE), "")&lt;&gt;""</formula>
    </cfRule>
  </conditionalFormatting>
  <conditionalFormatting sqref="G11:X22">
    <cfRule type="expression" dxfId="159" priority="9">
      <formula>ISBLANK($E$11)</formula>
    </cfRule>
  </conditionalFormatting>
  <conditionalFormatting sqref="G12 G14:G15 G17:G22">
    <cfRule type="expression" dxfId="158" priority="8">
      <formula>IFERROR(VLOOKUP($G$11, INDIRECT("InstitutionerTabel"), 1, FALSE), "")&lt;&gt;""</formula>
    </cfRule>
  </conditionalFormatting>
  <conditionalFormatting sqref="G12:H12">
    <cfRule type="expression" dxfId="157" priority="97">
      <formula>$G$12=""</formula>
    </cfRule>
  </conditionalFormatting>
  <conditionalFormatting sqref="A45">
    <cfRule type="expression" dxfId="156" priority="7">
      <formula>NOT(2&lt;=AntalPost)</formula>
    </cfRule>
  </conditionalFormatting>
  <conditionalFormatting sqref="O26:P40">
    <cfRule type="expression" dxfId="155" priority="5">
      <formula>AND(NOT(ISBLANK(O26)),OR(VALUE(O$25)&lt;YEAR(ProjektStart),VALUE(O$25)&gt;YEAR(ProjektSlut)))</formula>
    </cfRule>
    <cfRule type="expression" dxfId="154" priority="6">
      <formula>OR(VALUE(O$25)&lt;YEAR(ProjektStart),VALUE(O$25)&gt;YEAR(ProjektSlut))</formula>
    </cfRule>
  </conditionalFormatting>
  <conditionalFormatting sqref="K54:L63">
    <cfRule type="expression" dxfId="153" priority="3">
      <formula>AND(NOT(ISBLANK(K54)),OR(VALUE(K$53)&lt;YEAR(ProjektStart),VALUE(K$53)&gt;YEAR(ProjektSlut)))</formula>
    </cfRule>
    <cfRule type="expression" dxfId="152" priority="4">
      <formula>OR(VALUE(K$53)&lt;YEAR(ProjektStart),VALUE(K$53)&gt;YEAR(ProjektSlut))</formula>
    </cfRule>
  </conditionalFormatting>
  <conditionalFormatting sqref="J73:J77 J69:J71 J67:K68 K69:K70 J72:K72 K73:K74">
    <cfRule type="cellIs" dxfId="151" priority="2" operator="equal">
      <formula>0</formula>
    </cfRule>
  </conditionalFormatting>
  <conditionalFormatting sqref="K71 K75:K77">
    <cfRule type="cellIs" dxfId="150" priority="1" operator="equal">
      <formula>0</formula>
    </cfRule>
  </conditionalFormatting>
  <dataValidations xWindow="103" yWindow="720" count="18">
    <dataValidation type="list" allowBlank="1" showInputMessage="1" prompt="Please select an institution from the dropdown menu. If the institution is not on the menu, please fill in information about the institution name, address etc." sqref="C11:X11">
      <formula1>INDIRECT("InstitutionerTabel[Institution]")</formula1>
    </dataValidation>
    <dataValidation type="list" allowBlank="1" showInputMessage="1" showErrorMessage="1" sqref="B64">
      <formula1>INDIRECT("ParticipatingTabel[Participating]")</formula1>
    </dataValidation>
    <dataValidation type="list" allowBlank="1" showInputMessage="1" showErrorMessage="1" errorTitle="Invalid value" error="Please select an overhead from the dropdown menu." prompt="Select an overhead from the dropdown menu." sqref="C14:X14">
      <formula1>INDIRECT("OverheadTabel[Overhead]")</formula1>
    </dataValidation>
    <dataValidation type="list" allowBlank="1" showInputMessage="1" showErrorMessage="1" sqref="A64">
      <formula1>INDIRECT("OmkostningsExpenseTabel[Omkostningsart - Expense]")</formula1>
    </dataValidation>
    <dataValidation type="list" allowBlank="1" showInputMessage="1" showErrorMessage="1" errorTitle="Invalid value" error="Please select a salary type from the dropdown menu." prompt="Select a salary type from the dropdown menu." sqref="A27:A40">
      <formula1>INDIRECT("OmkostningsParticipantsTabel[Omkostningsart - Participant]")</formula1>
    </dataValidation>
    <dataValidation allowBlank="1" showInputMessage="1" showErrorMessage="1" errorTitle="Negative numbers not allowed" error="You cannot enter negative numbers in this cell." sqref="C110:G118 H73:K77 B109:B117 B87:B90 B67:C78 D67:K72 L67:M70 D73:G78 L72:M74"/>
    <dataValidation type="list" allowBlank="1" showInputMessage="1" showErrorMessage="1" errorTitle="Invalid value" error="Please select an institution type from the dropdown menu." prompt="Select an institution type from the dropdown menu." sqref="C12:X12">
      <formula1>INDIRECT("OrganisationstyperTabel[Organisationstype]")</formula1>
    </dataValidation>
    <dataValidation type="textLength" operator="lessThanOrEqual" allowBlank="1" showInputMessage="1" showErrorMessage="1" error="The description must not exceed 300 characters." prompt="Add a description of the expence type and its relevance for your project. Please note the description must not exceed 300 characters." sqref="Q54:Q63">
      <formula1>300</formula1>
    </dataValidation>
    <dataValidation type="list" allowBlank="1" showInputMessage="1" showErrorMessage="1" errorTitle="Invalid value" error="Please select a country from the dropdown menu." prompt="Select a country from the dropdown menu." sqref="C21:X21">
      <formula1>INDIRECT("LandeTabel[LandUK]")</formula1>
    </dataValidation>
    <dataValidation type="list" allowBlank="1" showInputMessage="1" showErrorMessage="1" errorTitle="Invalid value" error="Please select an expense type from the dropdown menu." prompt="Select an expense type from the dropdown menu." sqref="A54:A63">
      <formula1>INDIRECT("OmkostningsExpenseTabel[Omkostningsart - Expense]")</formula1>
    </dataValidation>
    <dataValidation type="list" allowBlank="1" showInputMessage="1" showErrorMessage="1" errorTitle="Invalid value" error="Please select an institution from the dropdown menu." prompt="Select an institution from the dropdown menu." sqref="B27:B40 B54:B63">
      <formula1>INDIRECT("ParticipatingTabel[Participating]")</formula1>
    </dataValidation>
    <dataValidation type="whole" operator="greaterThanOrEqual" allowBlank="1" showInputMessage="1" showErrorMessage="1" errorTitle="Invalid value" error="You can only enter positive integers." sqref="D45:D49 F45:G49 R26:W40 G26:P40 D54:L63 N54:P63">
      <formula1>0</formula1>
    </dataValidation>
    <dataValidation type="textLength" operator="lessThanOrEqual" allowBlank="1" showInputMessage="1" showErrorMessage="1" error="The description must not exceed 300 characters." prompt="Add a description of the salary type and its relevance for your project. Please note the description must not exceed 300 characters." sqref="X26:X40">
      <formula1>300</formula1>
    </dataValidation>
    <dataValidation type="date" operator="greaterThan" showInputMessage="1" showErrorMessage="1" errorTitle="Invalid value" error="End date cannot be blank, nor earlier than the start date." prompt="Please use the date format dd-mm-yy." sqref="C7">
      <formula1>C6</formula1>
    </dataValidation>
    <dataValidation type="list" allowBlank="1" showInputMessage="1" showErrorMessage="1" sqref="C3:H3">
      <formula1>INDIRECT("InstrumentTabel[Instrument]")</formula1>
    </dataValidation>
    <dataValidation type="textLength" operator="lessThanOrEqual" allowBlank="1" showInputMessage="1" showErrorMessage="1" error="The description must not exceed 300 characters." prompt="Add a description. Please note the description must not exceed 300 characters." sqref="H45:N49">
      <formula1>300</formula1>
    </dataValidation>
    <dataValidation type="whole" operator="greaterThanOrEqual" allowBlank="1" showInputMessage="1" showErrorMessage="1" error="You can only enter positive integers" sqref="Q26:Q40">
      <formula1>0</formula1>
    </dataValidation>
    <dataValidation type="whole" operator="greaterThanOrEqual" allowBlank="1" showInputMessage="1" showErrorMessage="1" error="You can only enter positive integers." sqref="M54:M63">
      <formula1>0</formula1>
    </dataValidation>
  </dataValidations>
  <hyperlinks>
    <hyperlink ref="A15" r:id="rId1" display="CVR no. (required for Danish institutions, please find no. at datacvr.virk.dk)"/>
    <hyperlink ref="A16" r:id="rId2" display="P no. (for use with Danish institutions, optional; also available at datacvr.virk.dk)"/>
  </hyperlinks>
  <pageMargins left="0.7" right="0.7" top="0.75" bottom="0.75" header="0.3" footer="0.3"/>
  <pageSetup paperSize="8" scale="43" fitToHeight="0" orientation="landscape" r:id="rId3"/>
  <ignoredErrors>
    <ignoredError sqref="C14:X14 C17:X20 E16:X16 E15:X15 C22:X22 E21:X21 I12:X12 D13:X13" unlockedFormula="1"/>
  </ignoredErrors>
  <drawing r:id="rId4"/>
  <extLst>
    <ext xmlns:x14="http://schemas.microsoft.com/office/spreadsheetml/2009/9/main" uri="{CCE6A557-97BC-4b89-ADB6-D9C93CAAB3DF}">
      <x14:dataValidations xmlns:xm="http://schemas.microsoft.com/office/excel/2006/main" xWindow="103" yWindow="720" count="14">
        <x14:dataValidation type="date" operator="greaterThanOrEqual" showInputMessage="1" showErrorMessage="1" errorTitle="Invalid value" error="Start date cannot be blank, nor be later than the end date, nor preceed the first budgettable year in the table below. Please confer the call for proposals concering the earliest and latest start date. _x000a_" prompt="Please use the date format dd-mm-yy. Please confer the call for proposals concering the earliest and latest start date.">
          <x14:formula1>
            <xm:f>Validators!$E$2</xm:f>
          </x14:formula1>
          <xm:sqref>C6</xm:sqref>
        </x14:dataValidation>
        <x14:dataValidation type="date" operator="lessThan" allowBlank="1" showInputMessage="1" showErrorMessage="1" errorTitle="Invalid value" error="The PhD age must be before the application deadline and in date format dd-mm-yy or dd/mm/yy." prompt="Please use the date format dd-mm-yy or dd/mm/yy.">
          <x14:formula1>
            <xm:f>Validators!$I$2</xm:f>
          </x14:formula1>
          <xm:sqref>C45:C49</xm:sqref>
        </x14:dataValidation>
        <x14:dataValidation type="custom" allowBlank="1" showInputMessage="1" showErrorMessage="1" error="Please enter a valid CVR no.">
          <x14:formula1>
            <xm:f>Validators!B2</xm:f>
          </x14:formula1>
          <xm:sqref>C15:D15</xm:sqref>
        </x14:dataValidation>
        <x14:dataValidation type="custom" allowBlank="1" showInputMessage="1" showErrorMessage="1" error="Please enter a valid CVR no.">
          <x14:formula1>
            <xm:f>Validators!B3</xm:f>
          </x14:formula1>
          <xm:sqref>E15:F15</xm:sqref>
        </x14:dataValidation>
        <x14:dataValidation type="custom" allowBlank="1" showInputMessage="1" showErrorMessage="1" error="Please enter a valid CVR no.">
          <x14:formula1>
            <xm:f>Validators!B4</xm:f>
          </x14:formula1>
          <xm:sqref>G15:H15</xm:sqref>
        </x14:dataValidation>
        <x14:dataValidation type="custom" allowBlank="1" showInputMessage="1" showErrorMessage="1" error="Please enter a valid CVR no.">
          <x14:formula1>
            <xm:f>Validators!B5</xm:f>
          </x14:formula1>
          <xm:sqref>I15:J15</xm:sqref>
        </x14:dataValidation>
        <x14:dataValidation type="custom" allowBlank="1" showInputMessage="1" showErrorMessage="1" error="Please enter a valid CVR no.">
          <x14:formula1>
            <xm:f>Validators!B6</xm:f>
          </x14:formula1>
          <xm:sqref>K15:L15</xm:sqref>
        </x14:dataValidation>
        <x14:dataValidation type="custom" allowBlank="1" showInputMessage="1" showErrorMessage="1" error="Please enter a valid CVR no.">
          <x14:formula1>
            <xm:f>Validators!B7</xm:f>
          </x14:formula1>
          <xm:sqref>M15:N15</xm:sqref>
        </x14:dataValidation>
        <x14:dataValidation type="custom" allowBlank="1" showInputMessage="1" showErrorMessage="1" error="Please enter a valid CVR no.">
          <x14:formula1>
            <xm:f>Validators!B8</xm:f>
          </x14:formula1>
          <xm:sqref>O15:P15</xm:sqref>
        </x14:dataValidation>
        <x14:dataValidation type="custom" allowBlank="1" showInputMessage="1" showErrorMessage="1" error="Please enter a valid CVR no.">
          <x14:formula1>
            <xm:f>Validators!B9</xm:f>
          </x14:formula1>
          <xm:sqref>Q15:R15</xm:sqref>
        </x14:dataValidation>
        <x14:dataValidation type="custom" allowBlank="1" showInputMessage="1" showErrorMessage="1" error="Please enter a valid CVR no.">
          <x14:formula1>
            <xm:f>Validators!B10</xm:f>
          </x14:formula1>
          <xm:sqref>S15:T15</xm:sqref>
        </x14:dataValidation>
        <x14:dataValidation type="custom" allowBlank="1" showInputMessage="1" showErrorMessage="1" error="Please enter a valid CVR no.">
          <x14:formula1>
            <xm:f>Validators!B11</xm:f>
          </x14:formula1>
          <xm:sqref>U15:V15</xm:sqref>
        </x14:dataValidation>
        <x14:dataValidation type="custom" allowBlank="1" showInputMessage="1" showErrorMessage="1" error="Please enter a valid CVR no.">
          <x14:formula1>
            <xm:f>Validators!B12</xm:f>
          </x14:formula1>
          <xm:sqref>W15:X15</xm:sqref>
        </x14:dataValidation>
        <x14:dataValidation type="custom" allowBlank="1" showInputMessage="1" showErrorMessage="1">
          <x14:formula1>
            <xm:f>Validators!C2</xm:f>
          </x14:formula1>
          <xm:sqref>C16:D16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79998168889431442"/>
    <pageSetUpPr fitToPage="1"/>
  </sheetPr>
  <dimension ref="A1:S22"/>
  <sheetViews>
    <sheetView showGridLines="0" showZeros="0" zoomScale="85" zoomScaleNormal="85" zoomScaleSheetLayoutView="87" workbookViewId="0">
      <selection sqref="A1:Q1"/>
    </sheetView>
  </sheetViews>
  <sheetFormatPr defaultColWidth="8.85546875" defaultRowHeight="15" x14ac:dyDescent="0.25"/>
  <cols>
    <col min="1" max="1" width="0.28515625" style="29" customWidth="1"/>
    <col min="2" max="2" width="20.28515625" style="29" customWidth="1"/>
    <col min="3" max="3" width="16.42578125" style="29" customWidth="1"/>
    <col min="4" max="4" width="17.85546875" style="29" customWidth="1"/>
    <col min="5" max="5" width="7.7109375" style="29" customWidth="1"/>
    <col min="6" max="6" width="13.7109375" style="29" customWidth="1"/>
    <col min="7" max="7" width="0.140625" style="29" customWidth="1"/>
    <col min="8" max="8" width="7.7109375" style="29" customWidth="1"/>
    <col min="9" max="9" width="13.7109375" style="29" customWidth="1"/>
    <col min="10" max="10" width="0.140625" style="29" customWidth="1"/>
    <col min="11" max="13" width="12.7109375" style="29" customWidth="1"/>
    <col min="14" max="16384" width="8.85546875" style="29"/>
  </cols>
  <sheetData>
    <row r="1" spans="1:19" ht="36.75" customHeight="1" x14ac:dyDescent="0.25">
      <c r="A1" s="524" t="s">
        <v>814</v>
      </c>
      <c r="B1" s="524"/>
      <c r="C1" s="524"/>
      <c r="D1" s="524"/>
      <c r="E1" s="524"/>
      <c r="F1" s="524"/>
      <c r="G1" s="524"/>
      <c r="H1" s="524"/>
      <c r="I1" s="524"/>
      <c r="J1" s="524"/>
      <c r="K1" s="524"/>
      <c r="L1" s="524"/>
      <c r="M1" s="524"/>
      <c r="N1" s="524"/>
      <c r="O1" s="524"/>
      <c r="P1" s="524"/>
      <c r="Q1" s="524"/>
    </row>
    <row r="2" spans="1:19" ht="4.5" customHeight="1" x14ac:dyDescent="0.25">
      <c r="B2" s="521"/>
      <c r="C2" s="521"/>
      <c r="D2" s="521"/>
      <c r="E2" s="521"/>
      <c r="F2" s="521"/>
      <c r="G2" s="521"/>
      <c r="H2" s="521"/>
      <c r="I2" s="286"/>
      <c r="J2" s="30"/>
      <c r="K2" s="30"/>
      <c r="L2" s="30"/>
      <c r="M2" s="30"/>
    </row>
    <row r="3" spans="1:19" x14ac:dyDescent="0.25">
      <c r="A3" s="31"/>
      <c r="B3" s="302"/>
      <c r="C3" s="289"/>
      <c r="D3" s="289"/>
      <c r="E3" s="522" t="str">
        <f>IFERROR('Print_B15 Participants'!$E3,"")</f>
        <v xml:space="preserve">Project participation    </v>
      </c>
      <c r="F3" s="522"/>
      <c r="G3" s="522"/>
      <c r="H3" s="522"/>
      <c r="I3" s="522"/>
      <c r="J3" s="292"/>
      <c r="K3" s="292"/>
      <c r="L3" s="292"/>
      <c r="M3" s="292"/>
      <c r="N3" s="293"/>
      <c r="O3" s="293"/>
      <c r="P3" s="293"/>
      <c r="Q3" s="293"/>
      <c r="R3" s="293"/>
      <c r="S3" s="293"/>
    </row>
    <row r="4" spans="1:19" ht="13.5" customHeight="1" x14ac:dyDescent="0.25">
      <c r="A4" s="31"/>
      <c r="B4" s="302"/>
      <c r="C4" s="289"/>
      <c r="D4" s="289"/>
      <c r="E4" s="523" t="str">
        <f>IFERROR('Print_B15 Participants'!$E4,"")</f>
        <v>Total</v>
      </c>
      <c r="F4" s="523"/>
      <c r="G4" s="33"/>
      <c r="H4" s="523" t="str">
        <f>IFERROR('Print_B15 Participants'!$H4,"")</f>
        <v>Funded by DFF</v>
      </c>
      <c r="I4" s="523"/>
      <c r="J4" s="32"/>
      <c r="K4" s="292"/>
      <c r="L4" s="292"/>
      <c r="M4" s="292"/>
      <c r="N4" s="293"/>
      <c r="O4" s="293"/>
      <c r="P4" s="293"/>
      <c r="Q4" s="293"/>
      <c r="R4" s="293"/>
      <c r="S4" s="293"/>
    </row>
    <row r="5" spans="1:19" s="272" customFormat="1" ht="27.95" customHeight="1" thickBot="1" x14ac:dyDescent="0.25">
      <c r="A5" s="271"/>
      <c r="B5" s="303" t="str">
        <f>IFERROR('Print_B15 Participants'!$B5,"")</f>
        <v>Type</v>
      </c>
      <c r="C5" s="291" t="str">
        <f>IFERROR('Print_B15 Participants'!$C5,"")</f>
        <v>Institution</v>
      </c>
      <c r="D5" s="291" t="str">
        <f>IFERROR('Print_B15 Participants'!$D5,"")</f>
        <v>Position, Name</v>
      </c>
      <c r="E5" s="294" t="str">
        <f>IFERROR('Print_B15 Participants'!$E5,"")</f>
        <v>Months</v>
      </c>
      <c r="F5" s="294" t="str">
        <f>IFERROR('Print_B15 Participants'!$F5,"")</f>
        <v>Amount excl. overheads (DKK)</v>
      </c>
      <c r="G5" s="294"/>
      <c r="H5" s="294" t="str">
        <f>IFERROR('Print_B15 Participants'!$H5,"")</f>
        <v>Months</v>
      </c>
      <c r="I5" s="294" t="str">
        <f>IFERROR('Print_B15 Participants'!$I5,"")</f>
        <v>Amount excl. overheads (DKK)</v>
      </c>
      <c r="J5" s="304"/>
      <c r="K5" s="517" t="str">
        <f>IFERROR('Print_B15 Participants'!$K5,"")</f>
        <v>Description (tasks and salary expenses, max. 300 characters)</v>
      </c>
      <c r="L5" s="517"/>
      <c r="M5" s="517"/>
      <c r="N5" s="517"/>
      <c r="O5" s="517"/>
      <c r="P5" s="517"/>
      <c r="Q5" s="517"/>
      <c r="R5" s="517"/>
      <c r="S5" s="518"/>
    </row>
    <row r="6" spans="1:19" ht="39.950000000000003" customHeight="1" x14ac:dyDescent="0.25">
      <c r="A6" s="34"/>
      <c r="B6" s="35" t="str">
        <f>IFERROR('Print_B15 Participants'!$B6,"")</f>
        <v>Applicant</v>
      </c>
      <c r="C6" s="36" t="str">
        <f>IFERROR('Print_B15 Participants'!$C6,"")</f>
        <v/>
      </c>
      <c r="D6" s="36" t="str">
        <f>IFERROR('Print_B15 Participants'!$D6,"")</f>
        <v/>
      </c>
      <c r="E6" s="37" t="str">
        <f>IFERROR('Print_B15 Participants'!$E6,"")</f>
        <v/>
      </c>
      <c r="F6" s="310" t="str">
        <f>IFERROR('Print_B15 Participants'!$F6,"")</f>
        <v/>
      </c>
      <c r="G6" s="38"/>
      <c r="H6" s="39">
        <f>IFERROR('Print_B15 Participants'!$H6,"")</f>
        <v>0</v>
      </c>
      <c r="I6" s="311" t="str">
        <f>IFERROR('Print_B15 Participants'!$I6,"")</f>
        <v/>
      </c>
      <c r="J6" s="40" t="s">
        <v>6</v>
      </c>
      <c r="K6" s="519">
        <f>IFERROR('Print_B15 Participants'!$K6,"")</f>
        <v>0</v>
      </c>
      <c r="L6" s="519"/>
      <c r="M6" s="519"/>
      <c r="N6" s="519"/>
      <c r="O6" s="519"/>
      <c r="P6" s="519"/>
      <c r="Q6" s="519"/>
      <c r="R6" s="519"/>
      <c r="S6" s="520"/>
    </row>
    <row r="7" spans="1:19" ht="39.950000000000003" customHeight="1" x14ac:dyDescent="0.25">
      <c r="A7" s="41"/>
      <c r="B7" s="35">
        <f>IFERROR('Print_B15 Participants'!$B7,"")</f>
        <v>0</v>
      </c>
      <c r="C7" s="36" t="str">
        <f>IFERROR('Print_B15 Participants'!$C7,"")</f>
        <v/>
      </c>
      <c r="D7" s="36" t="str">
        <f>IFERROR('Print_B15 Participants'!$D7,"")</f>
        <v/>
      </c>
      <c r="E7" s="42" t="str">
        <f>IFERROR('Print_B15 Participants'!$E7,"")</f>
        <v/>
      </c>
      <c r="F7" s="312" t="str">
        <f>IFERROR('Print_B15 Participants'!$F7,"")</f>
        <v/>
      </c>
      <c r="G7" s="43"/>
      <c r="H7" s="44">
        <f>IFERROR('Print_B15 Participants'!$H7,"")</f>
        <v>0</v>
      </c>
      <c r="I7" s="311" t="str">
        <f>IFERROR('Print_B15 Participants'!$I7,"")</f>
        <v/>
      </c>
      <c r="J7" s="45" t="s">
        <v>6</v>
      </c>
      <c r="K7" s="515">
        <f>IFERROR('Print_B15 Participants'!$K7,"")</f>
        <v>0</v>
      </c>
      <c r="L7" s="515"/>
      <c r="M7" s="515"/>
      <c r="N7" s="515"/>
      <c r="O7" s="515"/>
      <c r="P7" s="515"/>
      <c r="Q7" s="515"/>
      <c r="R7" s="515"/>
      <c r="S7" s="516"/>
    </row>
    <row r="8" spans="1:19" ht="39.950000000000003" customHeight="1" x14ac:dyDescent="0.25">
      <c r="A8" s="41"/>
      <c r="B8" s="35">
        <f>IFERROR('Print_B15 Participants'!$B8,"")</f>
        <v>0</v>
      </c>
      <c r="C8" s="36" t="str">
        <f>IFERROR('Print_B15 Participants'!$C8,"")</f>
        <v/>
      </c>
      <c r="D8" s="36" t="str">
        <f>IFERROR('Print_B15 Participants'!$D8,"")</f>
        <v/>
      </c>
      <c r="E8" s="42" t="str">
        <f>IFERROR('Print_B15 Participants'!$E8,"")</f>
        <v/>
      </c>
      <c r="F8" s="312" t="str">
        <f>IFERROR('Print_B15 Participants'!$F8,"")</f>
        <v/>
      </c>
      <c r="G8" s="43"/>
      <c r="H8" s="44">
        <f>IFERROR('Print_B15 Participants'!$H8,"")</f>
        <v>0</v>
      </c>
      <c r="I8" s="311" t="str">
        <f>IFERROR('Print_B15 Participants'!$I8,"")</f>
        <v/>
      </c>
      <c r="J8" s="45" t="s">
        <v>6</v>
      </c>
      <c r="K8" s="515">
        <f>IFERROR('Print_B15 Participants'!$K8,"")</f>
        <v>0</v>
      </c>
      <c r="L8" s="515"/>
      <c r="M8" s="515"/>
      <c r="N8" s="515"/>
      <c r="O8" s="515"/>
      <c r="P8" s="515"/>
      <c r="Q8" s="515"/>
      <c r="R8" s="515"/>
      <c r="S8" s="516"/>
    </row>
    <row r="9" spans="1:19" ht="39.950000000000003" customHeight="1" x14ac:dyDescent="0.25">
      <c r="A9" s="41"/>
      <c r="B9" s="35">
        <f>IFERROR('Print_B15 Participants'!$B9,"")</f>
        <v>0</v>
      </c>
      <c r="C9" s="36" t="str">
        <f>IFERROR('Print_B15 Participants'!$C9,"")</f>
        <v/>
      </c>
      <c r="D9" s="36" t="str">
        <f>IFERROR('Print_B15 Participants'!$D9,"")</f>
        <v/>
      </c>
      <c r="E9" s="42" t="str">
        <f>IFERROR('Print_B15 Participants'!$E9,"")</f>
        <v/>
      </c>
      <c r="F9" s="312" t="str">
        <f>IFERROR('Print_B15 Participants'!$F9,"")</f>
        <v/>
      </c>
      <c r="G9" s="43"/>
      <c r="H9" s="44">
        <f>IFERROR('Print_B15 Participants'!$H9,"")</f>
        <v>0</v>
      </c>
      <c r="I9" s="311" t="str">
        <f>IFERROR('Print_B15 Participants'!$I9,"")</f>
        <v/>
      </c>
      <c r="J9" s="45" t="s">
        <v>6</v>
      </c>
      <c r="K9" s="515">
        <f>IFERROR('Print_B15 Participants'!$K9,"")</f>
        <v>0</v>
      </c>
      <c r="L9" s="515"/>
      <c r="M9" s="515"/>
      <c r="N9" s="515"/>
      <c r="O9" s="515"/>
      <c r="P9" s="515"/>
      <c r="Q9" s="515"/>
      <c r="R9" s="515"/>
      <c r="S9" s="516"/>
    </row>
    <row r="10" spans="1:19" ht="39.950000000000003" customHeight="1" x14ac:dyDescent="0.25">
      <c r="A10" s="41"/>
      <c r="B10" s="35">
        <f>IFERROR('Print_B15 Participants'!$B10,"")</f>
        <v>0</v>
      </c>
      <c r="C10" s="36" t="str">
        <f>IFERROR('Print_B15 Participants'!$C10,"")</f>
        <v/>
      </c>
      <c r="D10" s="36" t="str">
        <f>IFERROR('Print_B15 Participants'!$D10,"")</f>
        <v/>
      </c>
      <c r="E10" s="42" t="str">
        <f>IFERROR('Print_B15 Participants'!$E10,"")</f>
        <v/>
      </c>
      <c r="F10" s="312" t="str">
        <f>IFERROR('Print_B15 Participants'!$F10,"")</f>
        <v/>
      </c>
      <c r="G10" s="43"/>
      <c r="H10" s="44">
        <f>IFERROR('Print_B15 Participants'!$H10,"")</f>
        <v>0</v>
      </c>
      <c r="I10" s="311" t="str">
        <f>IFERROR('Print_B15 Participants'!$I10,"")</f>
        <v/>
      </c>
      <c r="J10" s="45" t="s">
        <v>6</v>
      </c>
      <c r="K10" s="515">
        <f>IFERROR('Print_B15 Participants'!$K10,"")</f>
        <v>0</v>
      </c>
      <c r="L10" s="515"/>
      <c r="M10" s="515"/>
      <c r="N10" s="515"/>
      <c r="O10" s="515"/>
      <c r="P10" s="515"/>
      <c r="Q10" s="515"/>
      <c r="R10" s="515"/>
      <c r="S10" s="516"/>
    </row>
    <row r="11" spans="1:19" ht="39.950000000000003" customHeight="1" x14ac:dyDescent="0.25">
      <c r="A11" s="41"/>
      <c r="B11" s="35">
        <f>IFERROR('Print_B15 Participants'!$B11,"")</f>
        <v>0</v>
      </c>
      <c r="C11" s="36" t="str">
        <f>IFERROR('Print_B15 Participants'!$C11,"")</f>
        <v/>
      </c>
      <c r="D11" s="36" t="str">
        <f>IFERROR('Print_B15 Participants'!$D11,"")</f>
        <v/>
      </c>
      <c r="E11" s="42" t="str">
        <f>IFERROR('Print_B15 Participants'!$E11,"")</f>
        <v/>
      </c>
      <c r="F11" s="312" t="str">
        <f>IFERROR('Print_B15 Participants'!$F11,"")</f>
        <v/>
      </c>
      <c r="G11" s="43"/>
      <c r="H11" s="44">
        <f>IFERROR('Print_B15 Participants'!$H11,"")</f>
        <v>0</v>
      </c>
      <c r="I11" s="311" t="str">
        <f>IFERROR('Print_B15 Participants'!$I11,"")</f>
        <v/>
      </c>
      <c r="J11" s="45" t="s">
        <v>6</v>
      </c>
      <c r="K11" s="515">
        <f>IFERROR('Print_B15 Participants'!$K11,"")</f>
        <v>0</v>
      </c>
      <c r="L11" s="515"/>
      <c r="M11" s="515"/>
      <c r="N11" s="515"/>
      <c r="O11" s="515"/>
      <c r="P11" s="515"/>
      <c r="Q11" s="515"/>
      <c r="R11" s="515"/>
      <c r="S11" s="516"/>
    </row>
    <row r="12" spans="1:19" ht="39.950000000000003" customHeight="1" x14ac:dyDescent="0.25">
      <c r="A12" s="41"/>
      <c r="B12" s="35">
        <f>IFERROR('Print_B15 Participants'!$B12,"")</f>
        <v>0</v>
      </c>
      <c r="C12" s="36" t="str">
        <f>IFERROR('Print_B15 Participants'!$C12,"")</f>
        <v/>
      </c>
      <c r="D12" s="36" t="str">
        <f>IFERROR('Print_B15 Participants'!$D12,"")</f>
        <v/>
      </c>
      <c r="E12" s="42" t="str">
        <f>IFERROR('Print_B15 Participants'!$E12,"")</f>
        <v/>
      </c>
      <c r="F12" s="312" t="str">
        <f>IFERROR('Print_B15 Participants'!$F12,"")</f>
        <v/>
      </c>
      <c r="G12" s="43"/>
      <c r="H12" s="44">
        <f>IFERROR('Print_B15 Participants'!$H12,"")</f>
        <v>0</v>
      </c>
      <c r="I12" s="311" t="str">
        <f>IFERROR('Print_B15 Participants'!$I12,"")</f>
        <v/>
      </c>
      <c r="J12" s="45" t="s">
        <v>6</v>
      </c>
      <c r="K12" s="515">
        <f>IFERROR('Print_B15 Participants'!$K12,"")</f>
        <v>0</v>
      </c>
      <c r="L12" s="515"/>
      <c r="M12" s="515"/>
      <c r="N12" s="515"/>
      <c r="O12" s="515"/>
      <c r="P12" s="515"/>
      <c r="Q12" s="515"/>
      <c r="R12" s="515"/>
      <c r="S12" s="516"/>
    </row>
    <row r="13" spans="1:19" ht="39.950000000000003" customHeight="1" x14ac:dyDescent="0.25">
      <c r="A13" s="41"/>
      <c r="B13" s="35">
        <f>IFERROR('Print_B15 Participants'!$B13,"")</f>
        <v>0</v>
      </c>
      <c r="C13" s="36" t="str">
        <f>IFERROR('Print_B15 Participants'!$C13,"")</f>
        <v/>
      </c>
      <c r="D13" s="36" t="str">
        <f>IFERROR('Print_B15 Participants'!$D13,"")</f>
        <v/>
      </c>
      <c r="E13" s="42" t="str">
        <f>IFERROR('Print_B15 Participants'!$E13,"")</f>
        <v/>
      </c>
      <c r="F13" s="312" t="str">
        <f>IFERROR('Print_B15 Participants'!$F13,"")</f>
        <v/>
      </c>
      <c r="G13" s="43"/>
      <c r="H13" s="44">
        <f>IFERROR('Print_B15 Participants'!$H13,"")</f>
        <v>0</v>
      </c>
      <c r="I13" s="311" t="str">
        <f>IFERROR('Print_B15 Participants'!$I13,"")</f>
        <v/>
      </c>
      <c r="J13" s="45" t="s">
        <v>6</v>
      </c>
      <c r="K13" s="515">
        <f>IFERROR('Print_B15 Participants'!$K13,"")</f>
        <v>0</v>
      </c>
      <c r="L13" s="515"/>
      <c r="M13" s="515"/>
      <c r="N13" s="515"/>
      <c r="O13" s="515"/>
      <c r="P13" s="515"/>
      <c r="Q13" s="515"/>
      <c r="R13" s="515"/>
      <c r="S13" s="516"/>
    </row>
    <row r="14" spans="1:19" ht="39.950000000000003" customHeight="1" x14ac:dyDescent="0.25">
      <c r="A14" s="41"/>
      <c r="B14" s="35">
        <f>IFERROR('Print_B15 Participants'!$B14,"")</f>
        <v>0</v>
      </c>
      <c r="C14" s="36" t="str">
        <f>IFERROR('Print_B15 Participants'!$C14,"")</f>
        <v/>
      </c>
      <c r="D14" s="36" t="str">
        <f>IFERROR('Print_B15 Participants'!$D14,"")</f>
        <v/>
      </c>
      <c r="E14" s="42" t="str">
        <f>IFERROR('Print_B15 Participants'!$E14,"")</f>
        <v/>
      </c>
      <c r="F14" s="312" t="str">
        <f>IFERROR('Print_B15 Participants'!$F14,"")</f>
        <v/>
      </c>
      <c r="G14" s="43"/>
      <c r="H14" s="44">
        <f>IFERROR('Print_B15 Participants'!$H14,"")</f>
        <v>0</v>
      </c>
      <c r="I14" s="311" t="str">
        <f>IFERROR('Print_B15 Participants'!$I14,"")</f>
        <v/>
      </c>
      <c r="J14" s="45" t="s">
        <v>6</v>
      </c>
      <c r="K14" s="515">
        <f>IFERROR('Print_B15 Participants'!$K14,"")</f>
        <v>0</v>
      </c>
      <c r="L14" s="515"/>
      <c r="M14" s="515"/>
      <c r="N14" s="515"/>
      <c r="O14" s="515"/>
      <c r="P14" s="515"/>
      <c r="Q14" s="515"/>
      <c r="R14" s="515"/>
      <c r="S14" s="516"/>
    </row>
    <row r="15" spans="1:19" ht="39.950000000000003" customHeight="1" x14ac:dyDescent="0.25">
      <c r="A15" s="41"/>
      <c r="B15" s="35">
        <f>IFERROR('Print_B15 Participants'!$B15,"")</f>
        <v>0</v>
      </c>
      <c r="C15" s="36" t="str">
        <f>IFERROR('Print_B15 Participants'!$C15,"")</f>
        <v/>
      </c>
      <c r="D15" s="36" t="str">
        <f>IFERROR('Print_B15 Participants'!$D15,"")</f>
        <v/>
      </c>
      <c r="E15" s="42" t="str">
        <f>IFERROR('Print_B15 Participants'!$E15,"")</f>
        <v/>
      </c>
      <c r="F15" s="312" t="str">
        <f>IFERROR('Print_B15 Participants'!$F15,"")</f>
        <v/>
      </c>
      <c r="G15" s="43"/>
      <c r="H15" s="44">
        <f>IFERROR('Print_B15 Participants'!$H15,"")</f>
        <v>0</v>
      </c>
      <c r="I15" s="311" t="str">
        <f>IFERROR('Print_B15 Participants'!$I15,"")</f>
        <v/>
      </c>
      <c r="J15" s="45" t="s">
        <v>6</v>
      </c>
      <c r="K15" s="515">
        <f>IFERROR('Print_B15 Participants'!$K15,"")</f>
        <v>0</v>
      </c>
      <c r="L15" s="515"/>
      <c r="M15" s="515"/>
      <c r="N15" s="515"/>
      <c r="O15" s="515"/>
      <c r="P15" s="515"/>
      <c r="Q15" s="515"/>
      <c r="R15" s="515"/>
      <c r="S15" s="516"/>
    </row>
    <row r="16" spans="1:19" ht="39.950000000000003" customHeight="1" x14ac:dyDescent="0.25">
      <c r="A16" s="41"/>
      <c r="B16" s="35">
        <f>IFERROR('Print_B15 Participants'!$B16,"")</f>
        <v>0</v>
      </c>
      <c r="C16" s="36" t="str">
        <f>IFERROR('Print_B15 Participants'!$C16,"")</f>
        <v/>
      </c>
      <c r="D16" s="36" t="str">
        <f>IFERROR('Print_B15 Participants'!$D16,"")</f>
        <v/>
      </c>
      <c r="E16" s="42" t="str">
        <f>IFERROR('Print_B15 Participants'!$E16,"")</f>
        <v/>
      </c>
      <c r="F16" s="312" t="str">
        <f>IFERROR('Print_B15 Participants'!$F16,"")</f>
        <v/>
      </c>
      <c r="G16" s="43"/>
      <c r="H16" s="44">
        <f>IFERROR('Print_B15 Participants'!$H16,"")</f>
        <v>0</v>
      </c>
      <c r="I16" s="311" t="str">
        <f>IFERROR('Print_B15 Participants'!$I16,"")</f>
        <v/>
      </c>
      <c r="J16" s="45" t="s">
        <v>6</v>
      </c>
      <c r="K16" s="515">
        <f>IFERROR('Print_B15 Participants'!$K16,"")</f>
        <v>0</v>
      </c>
      <c r="L16" s="515"/>
      <c r="M16" s="515"/>
      <c r="N16" s="515"/>
      <c r="O16" s="515"/>
      <c r="P16" s="515"/>
      <c r="Q16" s="515"/>
      <c r="R16" s="515"/>
      <c r="S16" s="516"/>
    </row>
    <row r="17" spans="1:19" ht="39.950000000000003" customHeight="1" x14ac:dyDescent="0.25">
      <c r="A17" s="41"/>
      <c r="B17" s="35">
        <f>IFERROR('Print_B15 Participants'!$B17,"")</f>
        <v>0</v>
      </c>
      <c r="C17" s="36" t="str">
        <f>IFERROR('Print_B15 Participants'!$C17,"")</f>
        <v/>
      </c>
      <c r="D17" s="36" t="str">
        <f>IFERROR('Print_B15 Participants'!$D17,"")</f>
        <v/>
      </c>
      <c r="E17" s="42" t="str">
        <f>IFERROR('Print_B15 Participants'!$E17,"")</f>
        <v/>
      </c>
      <c r="F17" s="312" t="str">
        <f>IFERROR('Print_B15 Participants'!$F17,"")</f>
        <v/>
      </c>
      <c r="G17" s="43"/>
      <c r="H17" s="44">
        <f>IFERROR('Print_B15 Participants'!$H17,"")</f>
        <v>0</v>
      </c>
      <c r="I17" s="311" t="str">
        <f>IFERROR('Print_B15 Participants'!$I17,"")</f>
        <v/>
      </c>
      <c r="J17" s="45" t="s">
        <v>6</v>
      </c>
      <c r="K17" s="515">
        <f>IFERROR('Print_B15 Participants'!$K17,"")</f>
        <v>0</v>
      </c>
      <c r="L17" s="515"/>
      <c r="M17" s="515"/>
      <c r="N17" s="515"/>
      <c r="O17" s="515"/>
      <c r="P17" s="515"/>
      <c r="Q17" s="515"/>
      <c r="R17" s="515"/>
      <c r="S17" s="516"/>
    </row>
    <row r="18" spans="1:19" ht="39.950000000000003" customHeight="1" x14ac:dyDescent="0.25">
      <c r="A18" s="41"/>
      <c r="B18" s="35">
        <f>IFERROR('Print_B15 Participants'!$B18,"")</f>
        <v>0</v>
      </c>
      <c r="C18" s="36" t="str">
        <f>IFERROR('Print_B15 Participants'!$C18,"")</f>
        <v/>
      </c>
      <c r="D18" s="36" t="str">
        <f>IFERROR('Print_B15 Participants'!$D18,"")</f>
        <v/>
      </c>
      <c r="E18" s="42" t="str">
        <f>IFERROR('Print_B15 Participants'!$E18,"")</f>
        <v/>
      </c>
      <c r="F18" s="312" t="str">
        <f>IFERROR('Print_B15 Participants'!$F18,"")</f>
        <v/>
      </c>
      <c r="G18" s="43"/>
      <c r="H18" s="44">
        <f>IFERROR('Print_B15 Participants'!$H18,"")</f>
        <v>0</v>
      </c>
      <c r="I18" s="311" t="str">
        <f>IFERROR('Print_B15 Participants'!$I18,"")</f>
        <v/>
      </c>
      <c r="J18" s="45" t="s">
        <v>6</v>
      </c>
      <c r="K18" s="515">
        <f>IFERROR('Print_B15 Participants'!$K18,"")</f>
        <v>0</v>
      </c>
      <c r="L18" s="515"/>
      <c r="M18" s="515"/>
      <c r="N18" s="515"/>
      <c r="O18" s="515"/>
      <c r="P18" s="515"/>
      <c r="Q18" s="515"/>
      <c r="R18" s="515"/>
      <c r="S18" s="516"/>
    </row>
    <row r="19" spans="1:19" ht="39.950000000000003" customHeight="1" x14ac:dyDescent="0.25">
      <c r="A19" s="41"/>
      <c r="B19" s="35">
        <f>IFERROR('Print_B15 Participants'!$B19,"")</f>
        <v>0</v>
      </c>
      <c r="C19" s="36" t="str">
        <f>IFERROR('Print_B15 Participants'!$C19,"")</f>
        <v/>
      </c>
      <c r="D19" s="36" t="str">
        <f>IFERROR('Print_B15 Participants'!$D19,"")</f>
        <v/>
      </c>
      <c r="E19" s="42" t="str">
        <f>IFERROR('Print_B15 Participants'!$E19,"")</f>
        <v/>
      </c>
      <c r="F19" s="312" t="str">
        <f>IFERROR('Print_B15 Participants'!$F19,"")</f>
        <v/>
      </c>
      <c r="G19" s="43"/>
      <c r="H19" s="44">
        <f>IFERROR('Print_B15 Participants'!$H19,"")</f>
        <v>0</v>
      </c>
      <c r="I19" s="311" t="str">
        <f>IFERROR('Print_B15 Participants'!$I19,"")</f>
        <v/>
      </c>
      <c r="J19" s="45" t="s">
        <v>6</v>
      </c>
      <c r="K19" s="515">
        <f>IFERROR('Print_B15 Participants'!$K19,"")</f>
        <v>0</v>
      </c>
      <c r="L19" s="515"/>
      <c r="M19" s="515"/>
      <c r="N19" s="515"/>
      <c r="O19" s="515"/>
      <c r="P19" s="515"/>
      <c r="Q19" s="515"/>
      <c r="R19" s="515"/>
      <c r="S19" s="516"/>
    </row>
    <row r="20" spans="1:19" ht="39.950000000000003" customHeight="1" x14ac:dyDescent="0.25">
      <c r="A20" s="41"/>
      <c r="B20" s="35">
        <f>IFERROR('Print_B15 Participants'!$B20,"")</f>
        <v>0</v>
      </c>
      <c r="C20" s="36" t="str">
        <f>IFERROR('Print_B15 Participants'!$C20,"")</f>
        <v/>
      </c>
      <c r="D20" s="36" t="str">
        <f>IFERROR('Print_B15 Participants'!$D20,"")</f>
        <v/>
      </c>
      <c r="E20" s="42" t="str">
        <f>IFERROR('Print_B15 Participants'!$E20,"")</f>
        <v/>
      </c>
      <c r="F20" s="312" t="str">
        <f>IFERROR('Print_B15 Participants'!$F20,"")</f>
        <v/>
      </c>
      <c r="G20" s="43"/>
      <c r="H20" s="44">
        <f>IFERROR('Print_B15 Participants'!$H20,"")</f>
        <v>0</v>
      </c>
      <c r="I20" s="311" t="str">
        <f>IFERROR('Print_B15 Participants'!$I20,"")</f>
        <v/>
      </c>
      <c r="J20" s="45" t="s">
        <v>6</v>
      </c>
      <c r="K20" s="515">
        <f>IFERROR('Print_B15 Participants'!$K20,"")</f>
        <v>0</v>
      </c>
      <c r="L20" s="515"/>
      <c r="M20" s="515"/>
      <c r="N20" s="515"/>
      <c r="O20" s="515"/>
      <c r="P20" s="515"/>
      <c r="Q20" s="515"/>
      <c r="R20" s="515"/>
      <c r="S20" s="516"/>
    </row>
    <row r="21" spans="1:19" ht="13.5" customHeight="1" x14ac:dyDescent="0.25">
      <c r="A21" s="31"/>
      <c r="B21" s="295"/>
      <c r="C21" s="295"/>
      <c r="D21" s="295"/>
      <c r="E21" s="297">
        <f>IFERROR('Print_B15 Participants'!$E21,"")</f>
        <v>0</v>
      </c>
      <c r="F21" s="298">
        <f>IFERROR('Print_B15 Participants'!$F21,"")</f>
        <v>0</v>
      </c>
      <c r="G21" s="305"/>
      <c r="H21" s="297">
        <f>IFERROR('Print_B15 Participants'!$H21,"")</f>
        <v>0</v>
      </c>
      <c r="I21" s="298">
        <f>IFERROR('Print_B15 Participants'!$I21,"")</f>
        <v>0</v>
      </c>
      <c r="J21" s="295"/>
      <c r="K21" s="295"/>
      <c r="L21" s="295"/>
      <c r="M21" s="295"/>
      <c r="N21" s="295"/>
      <c r="O21" s="295"/>
      <c r="P21" s="295"/>
      <c r="Q21" s="295"/>
      <c r="R21" s="295"/>
      <c r="S21" s="301"/>
    </row>
    <row r="22" spans="1:19" x14ac:dyDescent="0.25">
      <c r="D22" s="46"/>
      <c r="E22" s="46"/>
      <c r="F22" s="46"/>
      <c r="G22" s="46"/>
      <c r="H22" s="46"/>
      <c r="I22" s="46"/>
      <c r="J22" s="46"/>
      <c r="K22" s="46"/>
    </row>
  </sheetData>
  <sheetProtection algorithmName="SHA-512" hashValue="FJ6PGUlQ+K1ZslYVgzeFF1cB1I3EHtvtMRCzUg8/0iaes6nuPCe0y/C4GuMzVJ6wi60Gzh27Xv9DxEbMHMpzqg==" saltValue="C/iYxV287QH06HlQ6qoy9Q==" spinCount="100000" sheet="1" objects="1" scenarios="1"/>
  <mergeCells count="21">
    <mergeCell ref="B2:H2"/>
    <mergeCell ref="E3:I3"/>
    <mergeCell ref="E4:F4"/>
    <mergeCell ref="H4:I4"/>
    <mergeCell ref="A1:Q1"/>
    <mergeCell ref="K5:S5"/>
    <mergeCell ref="K6:S6"/>
    <mergeCell ref="K7:S7"/>
    <mergeCell ref="K8:S8"/>
    <mergeCell ref="K9:S9"/>
    <mergeCell ref="K10:S10"/>
    <mergeCell ref="K11:S11"/>
    <mergeCell ref="K12:S12"/>
    <mergeCell ref="K13:S13"/>
    <mergeCell ref="K14:S14"/>
    <mergeCell ref="K20:S20"/>
    <mergeCell ref="K15:S15"/>
    <mergeCell ref="K16:S16"/>
    <mergeCell ref="K17:S17"/>
    <mergeCell ref="K18:S18"/>
    <mergeCell ref="K19:S19"/>
  </mergeCells>
  <pageMargins left="0.70866141732283472" right="0.70866141732283472" top="0.74803149606299213" bottom="0.74803149606299213" header="0.31496062992125984" footer="0.31496062992125984"/>
  <pageSetup paperSize="9" scale="6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F0"/>
    <pageSetUpPr fitToPage="1"/>
  </sheetPr>
  <dimension ref="A1:S22"/>
  <sheetViews>
    <sheetView showGridLines="0" showZeros="0" topLeftCell="A19" zoomScale="85" zoomScaleNormal="85" workbookViewId="0">
      <selection sqref="A1:H1"/>
    </sheetView>
  </sheetViews>
  <sheetFormatPr defaultColWidth="8.85546875" defaultRowHeight="15" x14ac:dyDescent="0.25"/>
  <cols>
    <col min="1" max="1" width="0.28515625" style="29" customWidth="1"/>
    <col min="2" max="2" width="20.28515625" style="29" customWidth="1"/>
    <col min="3" max="3" width="16.42578125" style="29" customWidth="1"/>
    <col min="4" max="4" width="17.85546875" style="29" customWidth="1"/>
    <col min="5" max="5" width="7.7109375" style="29" customWidth="1"/>
    <col min="6" max="6" width="13.7109375" style="29" customWidth="1"/>
    <col min="7" max="7" width="0.140625" style="29" customWidth="1"/>
    <col min="8" max="8" width="7.7109375" style="29" customWidth="1"/>
    <col min="9" max="9" width="13.7109375" style="29" customWidth="1"/>
    <col min="10" max="10" width="0.140625" style="29" customWidth="1"/>
    <col min="11" max="13" width="12.7109375" style="29" customWidth="1"/>
    <col min="14" max="16384" width="8.85546875" style="29"/>
  </cols>
  <sheetData>
    <row r="1" spans="1:19" ht="38.25" customHeight="1" x14ac:dyDescent="0.25">
      <c r="A1" s="524" t="s">
        <v>813</v>
      </c>
      <c r="B1" s="524"/>
      <c r="C1" s="524"/>
      <c r="D1" s="524"/>
      <c r="E1" s="524"/>
      <c r="F1" s="524"/>
      <c r="G1" s="524"/>
      <c r="H1" s="524"/>
      <c r="I1" s="287"/>
    </row>
    <row r="2" spans="1:19" ht="4.5" customHeight="1" x14ac:dyDescent="0.25">
      <c r="B2" s="521"/>
      <c r="C2" s="521"/>
      <c r="D2" s="521"/>
      <c r="E2" s="521"/>
      <c r="F2" s="521"/>
      <c r="G2" s="521"/>
      <c r="H2" s="521"/>
      <c r="I2" s="286"/>
      <c r="J2" s="30"/>
      <c r="K2" s="30"/>
      <c r="L2" s="30"/>
      <c r="M2" s="30"/>
    </row>
    <row r="3" spans="1:19" x14ac:dyDescent="0.25">
      <c r="A3" s="31"/>
      <c r="B3" s="288"/>
      <c r="C3" s="289"/>
      <c r="D3" s="289"/>
      <c r="E3" s="522" t="s">
        <v>690</v>
      </c>
      <c r="F3" s="522"/>
      <c r="G3" s="522"/>
      <c r="H3" s="522"/>
      <c r="I3" s="522"/>
      <c r="J3" s="292"/>
      <c r="K3" s="292"/>
      <c r="L3" s="292"/>
      <c r="M3" s="292"/>
      <c r="N3" s="293"/>
      <c r="O3" s="293"/>
      <c r="P3" s="293"/>
      <c r="Q3" s="293"/>
      <c r="R3" s="293"/>
      <c r="S3" s="293"/>
    </row>
    <row r="4" spans="1:19" ht="13.5" customHeight="1" x14ac:dyDescent="0.25">
      <c r="A4" s="31"/>
      <c r="B4" s="288"/>
      <c r="C4" s="289"/>
      <c r="D4" s="289"/>
      <c r="E4" s="523" t="s">
        <v>688</v>
      </c>
      <c r="F4" s="523"/>
      <c r="G4" s="33"/>
      <c r="H4" s="523" t="s">
        <v>837</v>
      </c>
      <c r="I4" s="523"/>
      <c r="J4" s="32"/>
      <c r="K4" s="292"/>
      <c r="L4" s="292"/>
      <c r="M4" s="292"/>
      <c r="N4" s="293"/>
      <c r="O4" s="293"/>
      <c r="P4" s="293"/>
      <c r="Q4" s="293"/>
      <c r="R4" s="293"/>
      <c r="S4" s="293"/>
    </row>
    <row r="5" spans="1:19" ht="27.95" customHeight="1" thickBot="1" x14ac:dyDescent="0.3">
      <c r="A5" s="31"/>
      <c r="B5" s="290" t="s">
        <v>26</v>
      </c>
      <c r="C5" s="291" t="s">
        <v>7</v>
      </c>
      <c r="D5" s="291" t="s">
        <v>692</v>
      </c>
      <c r="E5" s="294" t="s">
        <v>691</v>
      </c>
      <c r="F5" s="294" t="s">
        <v>828</v>
      </c>
      <c r="G5" s="294"/>
      <c r="H5" s="294" t="s">
        <v>691</v>
      </c>
      <c r="I5" s="294" t="s">
        <v>828</v>
      </c>
      <c r="J5" s="295"/>
      <c r="K5" s="517" t="s">
        <v>5</v>
      </c>
      <c r="L5" s="517"/>
      <c r="M5" s="517"/>
      <c r="N5" s="517"/>
      <c r="O5" s="517"/>
      <c r="P5" s="517"/>
      <c r="Q5" s="517"/>
      <c r="R5" s="517"/>
      <c r="S5" s="518"/>
    </row>
    <row r="6" spans="1:19" ht="39.950000000000003" customHeight="1" x14ac:dyDescent="0.25">
      <c r="A6" s="34"/>
      <c r="B6" s="129" t="str">
        <f>IFERROR(Budget!$A26,"")</f>
        <v>Applicant</v>
      </c>
      <c r="C6" s="36" t="str">
        <f>IFERROR(Budget!$C26,"")</f>
        <v/>
      </c>
      <c r="D6" s="36" t="str">
        <f>IFERROR(IF(Budget!$D26="","",TRIM(Budget!$D26)&amp;", ")&amp;IF(Budget!$E26="","",TRIM(Budget!$E26)&amp;" ")&amp;IF(Budget!$F26="","",TRIM(Budget!$F26)),"")</f>
        <v/>
      </c>
      <c r="E6" s="331" t="str">
        <f>IFERROR(Budget!$V26,"")</f>
        <v/>
      </c>
      <c r="F6" s="310" t="str">
        <f>IFERROR(Budget!$W26,"")</f>
        <v/>
      </c>
      <c r="G6" s="38"/>
      <c r="H6" s="39">
        <f>IFERROR(Budget!$G26,"")</f>
        <v>0</v>
      </c>
      <c r="I6" s="311" t="str">
        <f>IFERROR(Budget!$Q26,"")</f>
        <v/>
      </c>
      <c r="J6" s="40" t="s">
        <v>6</v>
      </c>
      <c r="K6" s="519">
        <f>IFERROR(Budget!$X26,"")</f>
        <v>0</v>
      </c>
      <c r="L6" s="519"/>
      <c r="M6" s="519"/>
      <c r="N6" s="519"/>
      <c r="O6" s="519"/>
      <c r="P6" s="519"/>
      <c r="Q6" s="519"/>
      <c r="R6" s="519"/>
      <c r="S6" s="520"/>
    </row>
    <row r="7" spans="1:19" ht="39.950000000000003" customHeight="1" x14ac:dyDescent="0.25">
      <c r="A7" s="41"/>
      <c r="B7" s="129">
        <f>IFERROR(Budget!$A27,"")</f>
        <v>0</v>
      </c>
      <c r="C7" s="36" t="str">
        <f>IFERROR(Budget!$C27,"")</f>
        <v/>
      </c>
      <c r="D7" s="36" t="str">
        <f>IFERROR(IF(Budget!$D27="","",TRIM(Budget!$D27)&amp;", ")&amp;IF(Budget!$E27="","",TRIM(Budget!$E27)&amp;" ")&amp;IF(Budget!$F27="","",TRIM(Budget!$F27)),"")</f>
        <v/>
      </c>
      <c r="E7" s="332" t="str">
        <f>IFERROR(Budget!$V27,"")</f>
        <v/>
      </c>
      <c r="F7" s="312" t="str">
        <f>IFERROR(Budget!$W27,"")</f>
        <v/>
      </c>
      <c r="G7" s="43"/>
      <c r="H7" s="44">
        <f>IFERROR(Budget!$G27,"")</f>
        <v>0</v>
      </c>
      <c r="I7" s="311" t="str">
        <f>IFERROR(Budget!$Q27,"")</f>
        <v/>
      </c>
      <c r="J7" s="45" t="s">
        <v>6</v>
      </c>
      <c r="K7" s="519">
        <f>IFERROR(Budget!$X27,"")</f>
        <v>0</v>
      </c>
      <c r="L7" s="519"/>
      <c r="M7" s="519"/>
      <c r="N7" s="519"/>
      <c r="O7" s="519"/>
      <c r="P7" s="519"/>
      <c r="Q7" s="519"/>
      <c r="R7" s="519"/>
      <c r="S7" s="520"/>
    </row>
    <row r="8" spans="1:19" ht="39.950000000000003" customHeight="1" x14ac:dyDescent="0.25">
      <c r="A8" s="41"/>
      <c r="B8" s="129">
        <f>IFERROR(Budget!$A28,"")</f>
        <v>0</v>
      </c>
      <c r="C8" s="36" t="str">
        <f>IFERROR(Budget!$C28,"")</f>
        <v/>
      </c>
      <c r="D8" s="36" t="str">
        <f>IFERROR(IF(Budget!$D28="","",TRIM(Budget!$D28)&amp;", ")&amp;IF(Budget!$E28="","",TRIM(Budget!$E28)&amp;" ")&amp;IF(Budget!$F28="","",TRIM(Budget!$F28)),"")</f>
        <v/>
      </c>
      <c r="E8" s="332" t="str">
        <f>IFERROR(Budget!$V28,"")</f>
        <v/>
      </c>
      <c r="F8" s="312" t="str">
        <f>IFERROR(Budget!$W28,"")</f>
        <v/>
      </c>
      <c r="G8" s="43"/>
      <c r="H8" s="44">
        <f>IFERROR(Budget!$G28,"")</f>
        <v>0</v>
      </c>
      <c r="I8" s="311" t="str">
        <f>IFERROR(Budget!$Q28,"")</f>
        <v/>
      </c>
      <c r="J8" s="45" t="s">
        <v>6</v>
      </c>
      <c r="K8" s="519">
        <f>IFERROR(Budget!$X28,"")</f>
        <v>0</v>
      </c>
      <c r="L8" s="519"/>
      <c r="M8" s="519"/>
      <c r="N8" s="519"/>
      <c r="O8" s="519"/>
      <c r="P8" s="519"/>
      <c r="Q8" s="519"/>
      <c r="R8" s="519"/>
      <c r="S8" s="520"/>
    </row>
    <row r="9" spans="1:19" ht="39.950000000000003" customHeight="1" x14ac:dyDescent="0.25">
      <c r="A9" s="41"/>
      <c r="B9" s="129">
        <f>IFERROR(Budget!$A29,"")</f>
        <v>0</v>
      </c>
      <c r="C9" s="36" t="str">
        <f>IFERROR(Budget!$C29,"")</f>
        <v/>
      </c>
      <c r="D9" s="36" t="str">
        <f>IFERROR(IF(Budget!$D29="","",TRIM(Budget!$D29)&amp;", ")&amp;IF(Budget!$E29="","",TRIM(Budget!$E29)&amp;" ")&amp;IF(Budget!$F29="","",TRIM(Budget!$F29)),"")</f>
        <v/>
      </c>
      <c r="E9" s="332" t="str">
        <f>IFERROR(Budget!$V29,"")</f>
        <v/>
      </c>
      <c r="F9" s="312" t="str">
        <f>IFERROR(Budget!$W29,"")</f>
        <v/>
      </c>
      <c r="G9" s="43"/>
      <c r="H9" s="44">
        <f>IFERROR(Budget!$G29,"")</f>
        <v>0</v>
      </c>
      <c r="I9" s="311" t="str">
        <f>IFERROR(Budget!$Q29,"")</f>
        <v/>
      </c>
      <c r="J9" s="45" t="s">
        <v>6</v>
      </c>
      <c r="K9" s="519">
        <f>IFERROR(Budget!$X29,"")</f>
        <v>0</v>
      </c>
      <c r="L9" s="519"/>
      <c r="M9" s="519"/>
      <c r="N9" s="519"/>
      <c r="O9" s="519"/>
      <c r="P9" s="519"/>
      <c r="Q9" s="519"/>
      <c r="R9" s="519"/>
      <c r="S9" s="520"/>
    </row>
    <row r="10" spans="1:19" ht="39.950000000000003" customHeight="1" x14ac:dyDescent="0.25">
      <c r="A10" s="41"/>
      <c r="B10" s="129">
        <f>IFERROR(Budget!$A30,"")</f>
        <v>0</v>
      </c>
      <c r="C10" s="36" t="str">
        <f>IFERROR(Budget!$C30,"")</f>
        <v/>
      </c>
      <c r="D10" s="36" t="str">
        <f>IFERROR(IF(Budget!$D30="","",TRIM(Budget!$D30)&amp;", ")&amp;IF(Budget!$E30="","",TRIM(Budget!$E30)&amp;" ")&amp;IF(Budget!$F30="","",TRIM(Budget!$F30)),"")</f>
        <v/>
      </c>
      <c r="E10" s="332" t="str">
        <f>IFERROR(Budget!$V30,"")</f>
        <v/>
      </c>
      <c r="F10" s="312" t="str">
        <f>IFERROR(Budget!$W30,"")</f>
        <v/>
      </c>
      <c r="G10" s="43"/>
      <c r="H10" s="44">
        <f>IFERROR(Budget!$G30,"")</f>
        <v>0</v>
      </c>
      <c r="I10" s="311" t="str">
        <f>IFERROR(Budget!$Q30,"")</f>
        <v/>
      </c>
      <c r="J10" s="45" t="s">
        <v>6</v>
      </c>
      <c r="K10" s="519">
        <f>IFERROR(Budget!$X30,"")</f>
        <v>0</v>
      </c>
      <c r="L10" s="519"/>
      <c r="M10" s="519"/>
      <c r="N10" s="519"/>
      <c r="O10" s="519"/>
      <c r="P10" s="519"/>
      <c r="Q10" s="519"/>
      <c r="R10" s="519"/>
      <c r="S10" s="520"/>
    </row>
    <row r="11" spans="1:19" ht="39.950000000000003" customHeight="1" x14ac:dyDescent="0.25">
      <c r="A11" s="41"/>
      <c r="B11" s="129">
        <f>IFERROR(Budget!$A31,"")</f>
        <v>0</v>
      </c>
      <c r="C11" s="36" t="str">
        <f>IFERROR(Budget!$C31,"")</f>
        <v/>
      </c>
      <c r="D11" s="36" t="str">
        <f>IFERROR(IF(Budget!$D31="","",TRIM(Budget!$D31)&amp;", ")&amp;IF(Budget!$E31="","",TRIM(Budget!$E31)&amp;" ")&amp;IF(Budget!$F31="","",TRIM(Budget!$F31)),"")</f>
        <v/>
      </c>
      <c r="E11" s="332" t="str">
        <f>IFERROR(Budget!$V31,"")</f>
        <v/>
      </c>
      <c r="F11" s="312" t="str">
        <f>IFERROR(Budget!$W31,"")</f>
        <v/>
      </c>
      <c r="G11" s="43"/>
      <c r="H11" s="44">
        <f>IFERROR(Budget!$G31,"")</f>
        <v>0</v>
      </c>
      <c r="I11" s="311" t="str">
        <f>IFERROR(Budget!$Q31,"")</f>
        <v/>
      </c>
      <c r="J11" s="45" t="s">
        <v>6</v>
      </c>
      <c r="K11" s="519">
        <f>IFERROR(Budget!$X31,"")</f>
        <v>0</v>
      </c>
      <c r="L11" s="519"/>
      <c r="M11" s="519"/>
      <c r="N11" s="519"/>
      <c r="O11" s="519"/>
      <c r="P11" s="519"/>
      <c r="Q11" s="519"/>
      <c r="R11" s="519"/>
      <c r="S11" s="520"/>
    </row>
    <row r="12" spans="1:19" ht="39.950000000000003" customHeight="1" x14ac:dyDescent="0.25">
      <c r="A12" s="41"/>
      <c r="B12" s="129">
        <f>IFERROR(Budget!$A32,"")</f>
        <v>0</v>
      </c>
      <c r="C12" s="36" t="str">
        <f>IFERROR(Budget!$C32,"")</f>
        <v/>
      </c>
      <c r="D12" s="36" t="str">
        <f>IFERROR(IF(Budget!$D32="","",TRIM(Budget!$D32)&amp;", ")&amp;IF(Budget!$E32="","",TRIM(Budget!$E32)&amp;" ")&amp;IF(Budget!$F32="","",TRIM(Budget!$F32)),"")</f>
        <v/>
      </c>
      <c r="E12" s="332" t="str">
        <f>IFERROR(Budget!$V32,"")</f>
        <v/>
      </c>
      <c r="F12" s="312" t="str">
        <f>IFERROR(Budget!$W32,"")</f>
        <v/>
      </c>
      <c r="G12" s="43"/>
      <c r="H12" s="44">
        <f>IFERROR(Budget!$G32,"")</f>
        <v>0</v>
      </c>
      <c r="I12" s="311" t="str">
        <f>IFERROR(Budget!$Q32,"")</f>
        <v/>
      </c>
      <c r="J12" s="45" t="s">
        <v>6</v>
      </c>
      <c r="K12" s="519">
        <f>IFERROR(Budget!$X32,"")</f>
        <v>0</v>
      </c>
      <c r="L12" s="519"/>
      <c r="M12" s="519"/>
      <c r="N12" s="519"/>
      <c r="O12" s="519"/>
      <c r="P12" s="519"/>
      <c r="Q12" s="519"/>
      <c r="R12" s="519"/>
      <c r="S12" s="520"/>
    </row>
    <row r="13" spans="1:19" ht="39.950000000000003" customHeight="1" x14ac:dyDescent="0.25">
      <c r="A13" s="41"/>
      <c r="B13" s="129">
        <f>IFERROR(Budget!$A33,"")</f>
        <v>0</v>
      </c>
      <c r="C13" s="36" t="str">
        <f>IFERROR(Budget!$C33,"")</f>
        <v/>
      </c>
      <c r="D13" s="36" t="str">
        <f>IFERROR(IF(Budget!$D33="","",TRIM(Budget!$D33)&amp;", ")&amp;IF(Budget!$E33="","",TRIM(Budget!$E33)&amp;" ")&amp;IF(Budget!$F33="","",TRIM(Budget!$F33)),"")</f>
        <v/>
      </c>
      <c r="E13" s="332" t="str">
        <f>IFERROR(Budget!$V33,"")</f>
        <v/>
      </c>
      <c r="F13" s="312" t="str">
        <f>IFERROR(Budget!$W33,"")</f>
        <v/>
      </c>
      <c r="G13" s="43"/>
      <c r="H13" s="44">
        <f>IFERROR(Budget!$G33,"")</f>
        <v>0</v>
      </c>
      <c r="I13" s="311" t="str">
        <f>IFERROR(Budget!$Q33,"")</f>
        <v/>
      </c>
      <c r="J13" s="45" t="s">
        <v>6</v>
      </c>
      <c r="K13" s="519">
        <f>IFERROR(Budget!$X33,"")</f>
        <v>0</v>
      </c>
      <c r="L13" s="519"/>
      <c r="M13" s="519"/>
      <c r="N13" s="519"/>
      <c r="O13" s="519"/>
      <c r="P13" s="519"/>
      <c r="Q13" s="519"/>
      <c r="R13" s="519"/>
      <c r="S13" s="520"/>
    </row>
    <row r="14" spans="1:19" ht="39.950000000000003" customHeight="1" x14ac:dyDescent="0.25">
      <c r="A14" s="41"/>
      <c r="B14" s="129">
        <f>IFERROR(Budget!$A34,"")</f>
        <v>0</v>
      </c>
      <c r="C14" s="36" t="str">
        <f>IFERROR(Budget!$C34,"")</f>
        <v/>
      </c>
      <c r="D14" s="36" t="str">
        <f>IFERROR(IF(Budget!$D34="","",TRIM(Budget!$D34)&amp;", ")&amp;IF(Budget!$E34="","",TRIM(Budget!$E34)&amp;" ")&amp;IF(Budget!$F34="","",TRIM(Budget!$F34)),"")</f>
        <v/>
      </c>
      <c r="E14" s="332" t="str">
        <f>IFERROR(Budget!$V34,"")</f>
        <v/>
      </c>
      <c r="F14" s="312" t="str">
        <f>IFERROR(Budget!$W34,"")</f>
        <v/>
      </c>
      <c r="G14" s="43"/>
      <c r="H14" s="44">
        <f>IFERROR(Budget!$G34,"")</f>
        <v>0</v>
      </c>
      <c r="I14" s="311" t="str">
        <f>IFERROR(Budget!$Q34,"")</f>
        <v/>
      </c>
      <c r="J14" s="45" t="s">
        <v>6</v>
      </c>
      <c r="K14" s="519">
        <f>IFERROR(Budget!$X34,"")</f>
        <v>0</v>
      </c>
      <c r="L14" s="519"/>
      <c r="M14" s="519"/>
      <c r="N14" s="519"/>
      <c r="O14" s="519"/>
      <c r="P14" s="519"/>
      <c r="Q14" s="519"/>
      <c r="R14" s="519"/>
      <c r="S14" s="520"/>
    </row>
    <row r="15" spans="1:19" ht="39.950000000000003" customHeight="1" x14ac:dyDescent="0.25">
      <c r="A15" s="41"/>
      <c r="B15" s="129">
        <f>IFERROR(Budget!$A35,"")</f>
        <v>0</v>
      </c>
      <c r="C15" s="36" t="str">
        <f>IFERROR(Budget!$C35,"")</f>
        <v/>
      </c>
      <c r="D15" s="36" t="str">
        <f>IFERROR(IF(Budget!$D35="","",TRIM(Budget!$D35)&amp;", ")&amp;IF(Budget!$E35="","",TRIM(Budget!$E35)&amp;" ")&amp;IF(Budget!$F35="","",TRIM(Budget!$F35)),"")</f>
        <v/>
      </c>
      <c r="E15" s="332" t="str">
        <f>IFERROR(Budget!$V35,"")</f>
        <v/>
      </c>
      <c r="F15" s="312" t="str">
        <f>IFERROR(Budget!$W35,"")</f>
        <v/>
      </c>
      <c r="G15" s="43"/>
      <c r="H15" s="44">
        <f>IFERROR(Budget!$G35,"")</f>
        <v>0</v>
      </c>
      <c r="I15" s="311" t="str">
        <f>IFERROR(Budget!$Q35,"")</f>
        <v/>
      </c>
      <c r="J15" s="45" t="s">
        <v>6</v>
      </c>
      <c r="K15" s="519">
        <f>IFERROR(Budget!$X35,"")</f>
        <v>0</v>
      </c>
      <c r="L15" s="519"/>
      <c r="M15" s="519"/>
      <c r="N15" s="519"/>
      <c r="O15" s="519"/>
      <c r="P15" s="519"/>
      <c r="Q15" s="519"/>
      <c r="R15" s="519"/>
      <c r="S15" s="520"/>
    </row>
    <row r="16" spans="1:19" ht="39.950000000000003" customHeight="1" x14ac:dyDescent="0.25">
      <c r="A16" s="41"/>
      <c r="B16" s="129">
        <f>IFERROR(Budget!$A36,"")</f>
        <v>0</v>
      </c>
      <c r="C16" s="36" t="str">
        <f>IFERROR(Budget!$C36,"")</f>
        <v/>
      </c>
      <c r="D16" s="36" t="str">
        <f>IFERROR(IF(Budget!$D36="","",TRIM(Budget!$D36)&amp;", ")&amp;IF(Budget!$E36="","",TRIM(Budget!$E36)&amp;" ")&amp;IF(Budget!$F36="","",TRIM(Budget!$F36)),"")</f>
        <v/>
      </c>
      <c r="E16" s="332" t="str">
        <f>IFERROR(Budget!$V36,"")</f>
        <v/>
      </c>
      <c r="F16" s="312" t="str">
        <f>IFERROR(Budget!$W36,"")</f>
        <v/>
      </c>
      <c r="G16" s="43"/>
      <c r="H16" s="44">
        <f>IFERROR(Budget!$G36,"")</f>
        <v>0</v>
      </c>
      <c r="I16" s="311" t="str">
        <f>IFERROR(Budget!$Q36,"")</f>
        <v/>
      </c>
      <c r="J16" s="45" t="s">
        <v>6</v>
      </c>
      <c r="K16" s="519">
        <f>IFERROR(Budget!$X36,"")</f>
        <v>0</v>
      </c>
      <c r="L16" s="519"/>
      <c r="M16" s="519"/>
      <c r="N16" s="519"/>
      <c r="O16" s="519"/>
      <c r="P16" s="519"/>
      <c r="Q16" s="519"/>
      <c r="R16" s="519"/>
      <c r="S16" s="520"/>
    </row>
    <row r="17" spans="1:19" ht="39.950000000000003" customHeight="1" x14ac:dyDescent="0.25">
      <c r="A17" s="41"/>
      <c r="B17" s="129">
        <f>IFERROR(Budget!$A37,"")</f>
        <v>0</v>
      </c>
      <c r="C17" s="36" t="str">
        <f>IFERROR(Budget!$C37,"")</f>
        <v/>
      </c>
      <c r="D17" s="36" t="str">
        <f>IFERROR(IF(Budget!$D37="","",TRIM(Budget!$D37)&amp;", ")&amp;IF(Budget!$E37="","",TRIM(Budget!$E37)&amp;" ")&amp;IF(Budget!$F37="","",TRIM(Budget!$F37)),"")</f>
        <v/>
      </c>
      <c r="E17" s="332" t="str">
        <f>IFERROR(Budget!$V37,"")</f>
        <v/>
      </c>
      <c r="F17" s="312" t="str">
        <f>IFERROR(Budget!$W37,"")</f>
        <v/>
      </c>
      <c r="G17" s="43"/>
      <c r="H17" s="44">
        <f>IFERROR(Budget!$G37,"")</f>
        <v>0</v>
      </c>
      <c r="I17" s="311" t="str">
        <f>IFERROR(Budget!$Q37,"")</f>
        <v/>
      </c>
      <c r="J17" s="45" t="s">
        <v>6</v>
      </c>
      <c r="K17" s="519">
        <f>IFERROR(Budget!$X37,"")</f>
        <v>0</v>
      </c>
      <c r="L17" s="519"/>
      <c r="M17" s="519"/>
      <c r="N17" s="519"/>
      <c r="O17" s="519"/>
      <c r="P17" s="519"/>
      <c r="Q17" s="519"/>
      <c r="R17" s="519"/>
      <c r="S17" s="520"/>
    </row>
    <row r="18" spans="1:19" ht="39.950000000000003" customHeight="1" x14ac:dyDescent="0.25">
      <c r="A18" s="41"/>
      <c r="B18" s="129">
        <f>IFERROR(Budget!$A38,"")</f>
        <v>0</v>
      </c>
      <c r="C18" s="36" t="str">
        <f>IFERROR(Budget!$C38,"")</f>
        <v/>
      </c>
      <c r="D18" s="36" t="str">
        <f>IFERROR(IF(Budget!$D38="","",TRIM(Budget!$D38)&amp;", ")&amp;IF(Budget!$E38="","",TRIM(Budget!$E38)&amp;" ")&amp;IF(Budget!$F38="","",TRIM(Budget!$F38)),"")</f>
        <v/>
      </c>
      <c r="E18" s="332" t="str">
        <f>IFERROR(Budget!$V38,"")</f>
        <v/>
      </c>
      <c r="F18" s="312" t="str">
        <f>IFERROR(Budget!$W38,"")</f>
        <v/>
      </c>
      <c r="G18" s="43"/>
      <c r="H18" s="44">
        <f>IFERROR(Budget!$G38,"")</f>
        <v>0</v>
      </c>
      <c r="I18" s="311" t="str">
        <f>IFERROR(Budget!$Q38,"")</f>
        <v/>
      </c>
      <c r="J18" s="45" t="s">
        <v>6</v>
      </c>
      <c r="K18" s="519">
        <f>IFERROR(Budget!$X38,"")</f>
        <v>0</v>
      </c>
      <c r="L18" s="519"/>
      <c r="M18" s="519"/>
      <c r="N18" s="519"/>
      <c r="O18" s="519"/>
      <c r="P18" s="519"/>
      <c r="Q18" s="519"/>
      <c r="R18" s="519"/>
      <c r="S18" s="520"/>
    </row>
    <row r="19" spans="1:19" ht="39.950000000000003" customHeight="1" x14ac:dyDescent="0.25">
      <c r="A19" s="41"/>
      <c r="B19" s="129">
        <f>IFERROR(Budget!$A39,"")</f>
        <v>0</v>
      </c>
      <c r="C19" s="36" t="str">
        <f>IFERROR(Budget!$C39,"")</f>
        <v/>
      </c>
      <c r="D19" s="36" t="str">
        <f>IFERROR(IF(Budget!$D39="","",TRIM(Budget!$D39)&amp;", ")&amp;IF(Budget!$E39="","",TRIM(Budget!$E39)&amp;" ")&amp;IF(Budget!$F39="","",TRIM(Budget!$F39)),"")</f>
        <v/>
      </c>
      <c r="E19" s="332" t="str">
        <f>IFERROR(Budget!$V39,"")</f>
        <v/>
      </c>
      <c r="F19" s="312" t="str">
        <f>IFERROR(Budget!$W39,"")</f>
        <v/>
      </c>
      <c r="G19" s="43"/>
      <c r="H19" s="44">
        <f>IFERROR(Budget!$G39,"")</f>
        <v>0</v>
      </c>
      <c r="I19" s="311" t="str">
        <f>IFERROR(Budget!$Q39,"")</f>
        <v/>
      </c>
      <c r="J19" s="45" t="s">
        <v>6</v>
      </c>
      <c r="K19" s="519">
        <f>IFERROR(Budget!$X39,"")</f>
        <v>0</v>
      </c>
      <c r="L19" s="519"/>
      <c r="M19" s="519"/>
      <c r="N19" s="519"/>
      <c r="O19" s="519"/>
      <c r="P19" s="519"/>
      <c r="Q19" s="519"/>
      <c r="R19" s="519"/>
      <c r="S19" s="520"/>
    </row>
    <row r="20" spans="1:19" ht="39.950000000000003" customHeight="1" x14ac:dyDescent="0.25">
      <c r="A20" s="41"/>
      <c r="B20" s="129">
        <f>IFERROR(Budget!$A40,"")</f>
        <v>0</v>
      </c>
      <c r="C20" s="36" t="str">
        <f>IFERROR(Budget!$C40,"")</f>
        <v/>
      </c>
      <c r="D20" s="36" t="str">
        <f>IFERROR(IF(Budget!$D40="","",TRIM(Budget!$D40)&amp;", ")&amp;IF(Budget!$E40="","",TRIM(Budget!$E40)&amp;" ")&amp;IF(Budget!$F40="","",TRIM(Budget!$F40)),"")</f>
        <v/>
      </c>
      <c r="E20" s="333" t="str">
        <f>IFERROR(Budget!$V40,"")</f>
        <v/>
      </c>
      <c r="F20" s="312" t="str">
        <f>IFERROR(Budget!$W40,"")</f>
        <v/>
      </c>
      <c r="G20" s="43"/>
      <c r="H20" s="44">
        <f>IFERROR(Budget!$G40,"")</f>
        <v>0</v>
      </c>
      <c r="I20" s="311" t="str">
        <f>IFERROR(Budget!$Q40,"")</f>
        <v/>
      </c>
      <c r="J20" s="45" t="s">
        <v>6</v>
      </c>
      <c r="K20" s="519">
        <f>IFERROR(Budget!$X40,"")</f>
        <v>0</v>
      </c>
      <c r="L20" s="519"/>
      <c r="M20" s="519"/>
      <c r="N20" s="519"/>
      <c r="O20" s="519"/>
      <c r="P20" s="519"/>
      <c r="Q20" s="519"/>
      <c r="R20" s="519"/>
      <c r="S20" s="520"/>
    </row>
    <row r="21" spans="1:19" ht="13.5" customHeight="1" x14ac:dyDescent="0.25">
      <c r="A21" s="31"/>
      <c r="B21" s="296"/>
      <c r="C21" s="295"/>
      <c r="D21" s="295"/>
      <c r="E21" s="297">
        <f>SUM(E6:E20)</f>
        <v>0</v>
      </c>
      <c r="F21" s="329">
        <f>SUM(F6:F20)</f>
        <v>0</v>
      </c>
      <c r="G21" s="299"/>
      <c r="H21" s="300">
        <f>SUM(H6:H20)</f>
        <v>0</v>
      </c>
      <c r="I21" s="298">
        <f>IFERROR(SUM(I6:I20),"")</f>
        <v>0</v>
      </c>
      <c r="J21" s="295"/>
      <c r="K21" s="295"/>
      <c r="L21" s="295"/>
      <c r="M21" s="295"/>
      <c r="N21" s="295"/>
      <c r="O21" s="295"/>
      <c r="P21" s="295"/>
      <c r="Q21" s="295"/>
      <c r="R21" s="295"/>
      <c r="S21" s="301"/>
    </row>
    <row r="22" spans="1:19" x14ac:dyDescent="0.25">
      <c r="D22" s="46"/>
      <c r="E22" s="46"/>
      <c r="F22" s="46"/>
      <c r="G22" s="46"/>
      <c r="H22" s="46"/>
      <c r="I22" s="46"/>
      <c r="J22" s="46"/>
      <c r="K22" s="46"/>
    </row>
  </sheetData>
  <sheetProtection algorithmName="SHA-512" hashValue="7foQ2mSb78ql1vluhZd1sS+qNLncjFZfhHIV9jG6/4yHVOx0SqW/3VZg6RPWZW+1BDwdxnOboc09RzIup40yAQ==" saltValue="nIy+ImT3k7M94hcbOpzN7A==" spinCount="100000" sheet="1" objects="1" scenarios="1"/>
  <mergeCells count="21">
    <mergeCell ref="K11:S11"/>
    <mergeCell ref="A1:H1"/>
    <mergeCell ref="B2:H2"/>
    <mergeCell ref="E3:I3"/>
    <mergeCell ref="E4:F4"/>
    <mergeCell ref="H4:I4"/>
    <mergeCell ref="K5:S5"/>
    <mergeCell ref="K6:S6"/>
    <mergeCell ref="K7:S7"/>
    <mergeCell ref="K8:S8"/>
    <mergeCell ref="K9:S9"/>
    <mergeCell ref="K10:S10"/>
    <mergeCell ref="K18:S18"/>
    <mergeCell ref="K19:S19"/>
    <mergeCell ref="K20:S20"/>
    <mergeCell ref="K12:S12"/>
    <mergeCell ref="K13:S13"/>
    <mergeCell ref="K14:S14"/>
    <mergeCell ref="K15:S15"/>
    <mergeCell ref="K16:S16"/>
    <mergeCell ref="K17:S17"/>
  </mergeCells>
  <pageMargins left="0.70866141732283472" right="0.70866141732283472" top="0.74803149606299213" bottom="0.74803149606299213" header="0.31496062992125984" footer="0.31496062992125984"/>
  <pageSetup paperSize="9" scale="69" fitToHeight="0" orientation="landscape" r:id="rId1"/>
  <headerFooter>
    <oddHeader>&amp;R&amp;"-,Bold"&amp;16&amp;K014A69Independent Research Fund Denmark</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79998168889431442"/>
    <pageSetUpPr fitToPage="1"/>
  </sheetPr>
  <dimension ref="A1:H31"/>
  <sheetViews>
    <sheetView showGridLines="0" showZeros="0" zoomScale="85" zoomScaleNormal="85" zoomScaleSheetLayoutView="85" workbookViewId="0"/>
  </sheetViews>
  <sheetFormatPr defaultColWidth="8.85546875" defaultRowHeight="15" x14ac:dyDescent="0.25"/>
  <cols>
    <col min="1" max="1" width="30.42578125" style="50" customWidth="1"/>
    <col min="2" max="2" width="23.7109375" style="50" customWidth="1"/>
    <col min="3" max="3" width="22.85546875" style="50" customWidth="1"/>
    <col min="4" max="8" width="23.7109375" style="50" customWidth="1"/>
    <col min="9" max="9" width="8.85546875" style="50"/>
    <col min="10" max="10" width="23.42578125" style="50" customWidth="1"/>
    <col min="11" max="11" width="13.42578125" style="50" customWidth="1"/>
    <col min="12" max="16384" width="8.85546875" style="50"/>
  </cols>
  <sheetData>
    <row r="1" spans="1:7" ht="21" customHeight="1" x14ac:dyDescent="0.25">
      <c r="A1" s="47" t="str">
        <f>IFERROR('Print_B16 Expenses'!$A1,"")</f>
        <v>Expenses</v>
      </c>
      <c r="B1" s="48"/>
      <c r="C1" s="48"/>
      <c r="D1" s="48"/>
      <c r="E1" s="48"/>
      <c r="F1" s="49"/>
    </row>
    <row r="2" spans="1:7" ht="21.75" customHeight="1" x14ac:dyDescent="0.25">
      <c r="A2" s="51" t="s">
        <v>742</v>
      </c>
      <c r="B2" s="48"/>
      <c r="C2" s="48"/>
      <c r="D2" s="48"/>
      <c r="E2" s="48"/>
      <c r="F2" s="49"/>
    </row>
    <row r="3" spans="1:7" x14ac:dyDescent="0.25">
      <c r="A3" s="52"/>
      <c r="B3" s="53" t="str">
        <f>IFERROR('Print_B16 Expenses'!$B3,"")</f>
        <v xml:space="preserve">DFF-financing </v>
      </c>
      <c r="C3" s="52" t="str">
        <f>IFERROR('Print_B16 Expenses'!$C3,"")</f>
        <v>Co-financing</v>
      </c>
      <c r="D3" s="52" t="str">
        <f>IFERROR('Print_B16 Expenses'!$D3,"")</f>
        <v xml:space="preserve">Other sources </v>
      </c>
      <c r="E3" s="54" t="str">
        <f>IFERROR('Print_B16 Expenses'!$E3,"")</f>
        <v>Total (DKK)</v>
      </c>
      <c r="F3" s="49"/>
    </row>
    <row r="4" spans="1:7" x14ac:dyDescent="0.25">
      <c r="A4" s="249" t="s">
        <v>783</v>
      </c>
      <c r="B4" s="273" t="str">
        <f>IFERROR('Print_B16 Expenses'!$B4,"")</f>
        <v/>
      </c>
      <c r="C4" s="274">
        <f>IFERROR('Print_B16 Expenses'!$C4,"")</f>
        <v>0</v>
      </c>
      <c r="D4" s="274">
        <f>IFERROR('Print_B16 Expenses'!$D4,"")</f>
        <v>0</v>
      </c>
      <c r="E4" s="275">
        <f>IFERROR('Print_B16 Expenses'!$E4,"")</f>
        <v>0</v>
      </c>
      <c r="F4" s="49"/>
    </row>
    <row r="5" spans="1:7" ht="26.25" x14ac:dyDescent="0.25">
      <c r="A5" s="250" t="str">
        <f>IFERROR('Print_B16 Expenses'!$A5,"")</f>
        <v>Scientific/academic staff excluding postdocs and PhD students</v>
      </c>
      <c r="B5" s="112" t="str">
        <f>IFERROR('Print_B16 Expenses'!$B5,"")</f>
        <v/>
      </c>
      <c r="C5" s="113">
        <f>IFERROR('Print_B16 Expenses'!$C5,"")</f>
        <v>0</v>
      </c>
      <c r="D5" s="113">
        <f>IFERROR('Print_B16 Expenses'!$D5,"")</f>
        <v>0</v>
      </c>
      <c r="E5" s="114">
        <f>IFERROR('Print_B16 Expenses'!$E5,"")</f>
        <v>0</v>
      </c>
      <c r="F5" s="49"/>
      <c r="G5" s="97"/>
    </row>
    <row r="6" spans="1:7" x14ac:dyDescent="0.25">
      <c r="A6" s="55" t="str">
        <f>IFERROR('Print_B16 Expenses'!$A6,"")</f>
        <v>Postdoc(s)</v>
      </c>
      <c r="B6" s="56" t="str">
        <f>IFERROR('Print_B16 Expenses'!$B6,"")</f>
        <v/>
      </c>
      <c r="C6" s="57">
        <f>IFERROR('Print_B16 Expenses'!$C6,"")</f>
        <v>0</v>
      </c>
      <c r="D6" s="57">
        <f>IFERROR('Print_B16 Expenses'!$D6,"")</f>
        <v>0</v>
      </c>
      <c r="E6" s="58">
        <f>IFERROR('Print_B16 Expenses'!$E6,"")</f>
        <v>0</v>
      </c>
      <c r="F6" s="49"/>
      <c r="G6" s="96"/>
    </row>
    <row r="7" spans="1:7" x14ac:dyDescent="0.25">
      <c r="A7" s="101" t="str">
        <f>IFERROR('Print_B16 Expenses'!$A7,"")</f>
        <v>PhD-student(s)</v>
      </c>
      <c r="B7" s="61" t="str">
        <f>IFERROR('Print_B16 Expenses'!$B7,"")</f>
        <v/>
      </c>
      <c r="C7" s="62">
        <f>IFERROR('Print_B16 Expenses'!$C7,"")</f>
        <v>0</v>
      </c>
      <c r="D7" s="62">
        <f>IFERROR('Print_B16 Expenses'!$D7,"")</f>
        <v>0</v>
      </c>
      <c r="E7" s="63">
        <f>IFERROR('Print_B16 Expenses'!$E7,"")</f>
        <v>0</v>
      </c>
      <c r="F7" s="49"/>
      <c r="G7" s="96"/>
    </row>
    <row r="8" spans="1:7" x14ac:dyDescent="0.25">
      <c r="A8" s="100" t="str">
        <f>IFERROR('Print_B16 Expenses'!$A8,"")</f>
        <v>Total scientific/academic</v>
      </c>
      <c r="B8" s="56" t="str">
        <f>IFERROR('Print_B16 Expenses'!$B8,"")</f>
        <v/>
      </c>
      <c r="C8" s="57" t="str">
        <f>IFERROR('Print_B16 Expenses'!$C8,"")</f>
        <v/>
      </c>
      <c r="D8" s="57" t="str">
        <f>IFERROR('Print_B16 Expenses'!$D8,"")</f>
        <v/>
      </c>
      <c r="E8" s="58">
        <f>IFERROR('Print_B16 Expenses'!$E8,"")</f>
        <v>0</v>
      </c>
      <c r="F8" s="49"/>
      <c r="G8" s="96"/>
    </row>
    <row r="9" spans="1:7" x14ac:dyDescent="0.25">
      <c r="A9" s="55" t="str">
        <f>IFERROR('Print_B16 Expenses'!$A9,"")</f>
        <v>Technical/administrative staff</v>
      </c>
      <c r="B9" s="56" t="str">
        <f>IFERROR('Print_B16 Expenses'!$B9,"")</f>
        <v/>
      </c>
      <c r="C9" s="57">
        <f>IFERROR('Print_B16 Expenses'!$C9,"")</f>
        <v>0</v>
      </c>
      <c r="D9" s="57">
        <f>IFERROR('Print_B16 Expenses'!$D9,"")</f>
        <v>0</v>
      </c>
      <c r="E9" s="58">
        <f>IFERROR('Print_B16 Expenses'!$E9,"")</f>
        <v>0</v>
      </c>
      <c r="F9" s="49"/>
      <c r="G9" s="96"/>
    </row>
    <row r="10" spans="1:7" x14ac:dyDescent="0.25">
      <c r="A10" s="55" t="str">
        <f>IFERROR('Print_B16 Expenses'!$A10,"")</f>
        <v>Equipment expenses</v>
      </c>
      <c r="B10" s="56" t="str">
        <f>IFERROR('Print_B16 Expenses'!$B10,"")</f>
        <v/>
      </c>
      <c r="C10" s="57">
        <f>IFERROR('Print_B16 Expenses'!$C10,"")</f>
        <v>0</v>
      </c>
      <c r="D10" s="57">
        <f>IFERROR('Print_B16 Expenses'!$D10,"")</f>
        <v>0</v>
      </c>
      <c r="E10" s="58">
        <f>IFERROR('Print_B16 Expenses'!$E10,"")</f>
        <v>0</v>
      </c>
      <c r="F10" s="49"/>
      <c r="G10" s="96"/>
    </row>
    <row r="11" spans="1:7" x14ac:dyDescent="0.25">
      <c r="A11" s="92" t="str">
        <f>IFERROR('Print_B16 Expenses'!$A11,"")</f>
        <v>Operating expenses</v>
      </c>
      <c r="B11" s="81" t="str">
        <f>IFERROR('Print_B16 Expenses'!$B11,"")</f>
        <v/>
      </c>
      <c r="C11" s="84">
        <f>IFERROR('Print_B16 Expenses'!$C11,"")</f>
        <v>0</v>
      </c>
      <c r="D11" s="84">
        <f>IFERROR('Print_B16 Expenses'!$D11,"")</f>
        <v>0</v>
      </c>
      <c r="E11" s="85">
        <f>IFERROR('Print_B16 Expenses'!$E11,"")</f>
        <v>0</v>
      </c>
      <c r="F11" s="49"/>
      <c r="G11" s="96"/>
    </row>
    <row r="12" spans="1:7" x14ac:dyDescent="0.25">
      <c r="A12" s="93" t="str">
        <f>IFERROR('Print_B16 Expenses'!$A12,"")</f>
        <v>Total - excl. overhead</v>
      </c>
      <c r="B12" s="82" t="str">
        <f>IFERROR('Print_B16 Expenses'!$B12,"")</f>
        <v/>
      </c>
      <c r="C12" s="86" t="str">
        <f>IFERROR('Print_B16 Expenses'!$C12,"")</f>
        <v/>
      </c>
      <c r="D12" s="86" t="str">
        <f>IFERROR('Print_B16 Expenses'!$D12,"")</f>
        <v/>
      </c>
      <c r="E12" s="87">
        <f>IFERROR('Print_B16 Expenses'!$E12,"")</f>
        <v>0</v>
      </c>
      <c r="F12" s="49"/>
      <c r="G12" s="96"/>
    </row>
    <row r="13" spans="1:7" x14ac:dyDescent="0.25">
      <c r="A13" s="94" t="str">
        <f>IFERROR('Print_B16 Expenses'!$A13,"")</f>
        <v>Overheads</v>
      </c>
      <c r="B13" s="83" t="str">
        <f>IFERROR('Print_B16 Expenses'!$B13,"")</f>
        <v/>
      </c>
      <c r="C13" s="88" t="str">
        <f>IFERROR('Print_B16 Expenses'!$C13,"")</f>
        <v>n/a</v>
      </c>
      <c r="D13" s="88" t="str">
        <f>IFERROR('Print_B16 Expenses'!$D13,"")</f>
        <v>n/a</v>
      </c>
      <c r="E13" s="89" t="str">
        <f>IFERROR('Print_B16 Expenses'!$E13,"")</f>
        <v/>
      </c>
      <c r="F13" s="49"/>
      <c r="G13" s="96"/>
    </row>
    <row r="14" spans="1:7" x14ac:dyDescent="0.25">
      <c r="A14" s="95" t="str">
        <f>IFERROR('Print_B16 Expenses'!$A14,"")</f>
        <v>Total (DKK)</v>
      </c>
      <c r="B14" s="90" t="str">
        <f>IFERROR('Print_B16 Expenses'!$B14,"")</f>
        <v/>
      </c>
      <c r="C14" s="70" t="str">
        <f>IFERROR('Print_B16 Expenses'!$C14,"")</f>
        <v/>
      </c>
      <c r="D14" s="70" t="str">
        <f>IFERROR('Print_B16 Expenses'!$D14,"")</f>
        <v/>
      </c>
      <c r="E14" s="91">
        <f>IFERROR('Print_B16 Expenses'!$E14,"")</f>
        <v>0</v>
      </c>
      <c r="F14" s="71"/>
      <c r="G14" s="96"/>
    </row>
    <row r="15" spans="1:7" ht="15" customHeight="1" x14ac:dyDescent="0.25">
      <c r="A15" s="49"/>
      <c r="B15" s="49"/>
      <c r="C15" s="49"/>
      <c r="D15" s="49"/>
      <c r="E15" s="49"/>
      <c r="F15" s="49"/>
    </row>
    <row r="16" spans="1:7" ht="20.25" customHeight="1" x14ac:dyDescent="0.25">
      <c r="A16" s="72" t="str">
        <f>IFERROR('Print_B16 Expenses'!$A16,"")</f>
        <v>Expenses excl. payroll costs - details (DFF financing only)</v>
      </c>
    </row>
    <row r="17" spans="1:8" ht="26.25" customHeight="1" thickBot="1" x14ac:dyDescent="0.3">
      <c r="A17" s="306" t="str">
        <f>IFERROR('Print_B16 Expenses'!$A17,"")</f>
        <v>Expense type</v>
      </c>
      <c r="B17" s="307" t="str">
        <f>IFERROR('Print_B16 Expenses'!$B17,"")</f>
        <v>Institution</v>
      </c>
      <c r="C17" s="307" t="str">
        <f>IFERROR('Print_B16 Expenses'!$C17,"")</f>
        <v>Amount (excl. overheads)
DKK</v>
      </c>
      <c r="D17" s="525" t="str">
        <f>IFERROR('Print_B16 Expenses'!$D17,"")</f>
        <v>Description, max. 300 characters</v>
      </c>
      <c r="E17" s="525"/>
      <c r="F17" s="525"/>
      <c r="G17" s="525"/>
      <c r="H17" s="525"/>
    </row>
    <row r="18" spans="1:8" ht="42" customHeight="1" x14ac:dyDescent="0.25">
      <c r="A18" s="73">
        <f>IFERROR('Print_B16 Expenses'!$A18,"")</f>
        <v>0</v>
      </c>
      <c r="B18" s="74" t="str">
        <f>IFERROR('Print_B16 Expenses'!$B18,"")</f>
        <v/>
      </c>
      <c r="C18" s="330" t="str">
        <f>IFERROR('Print_B16 Expenses'!$C18,"")</f>
        <v/>
      </c>
      <c r="D18" s="526">
        <f>IFERROR('Print_B16 Expenses'!$D18,"")</f>
        <v>0</v>
      </c>
      <c r="E18" s="527"/>
      <c r="F18" s="527"/>
      <c r="G18" s="527"/>
      <c r="H18" s="528"/>
    </row>
    <row r="19" spans="1:8" ht="42" customHeight="1" x14ac:dyDescent="0.25">
      <c r="A19" s="73">
        <f>IFERROR('Print_B16 Expenses'!$A19,"")</f>
        <v>0</v>
      </c>
      <c r="B19" s="74" t="str">
        <f>IFERROR('Print_B16 Expenses'!$B19,"")</f>
        <v/>
      </c>
      <c r="C19" s="308" t="str">
        <f>IFERROR('Print_B16 Expenses'!$C19,"")</f>
        <v/>
      </c>
      <c r="D19" s="529">
        <f>IFERROR('Print_B16 Expenses'!$D19,"")</f>
        <v>0</v>
      </c>
      <c r="E19" s="530"/>
      <c r="F19" s="530"/>
      <c r="G19" s="530"/>
      <c r="H19" s="531"/>
    </row>
    <row r="20" spans="1:8" ht="42" customHeight="1" x14ac:dyDescent="0.25">
      <c r="A20" s="73">
        <f>IFERROR('Print_B16 Expenses'!$A20,"")</f>
        <v>0</v>
      </c>
      <c r="B20" s="74" t="str">
        <f>IFERROR('Print_B16 Expenses'!$B20,"")</f>
        <v/>
      </c>
      <c r="C20" s="308" t="str">
        <f>IFERROR('Print_B16 Expenses'!$C20,"")</f>
        <v/>
      </c>
      <c r="D20" s="529">
        <f>IFERROR('Print_B16 Expenses'!$D20,"")</f>
        <v>0</v>
      </c>
      <c r="E20" s="530"/>
      <c r="F20" s="530"/>
      <c r="G20" s="530"/>
      <c r="H20" s="531"/>
    </row>
    <row r="21" spans="1:8" ht="42" customHeight="1" x14ac:dyDescent="0.25">
      <c r="A21" s="73">
        <f>IFERROR('Print_B16 Expenses'!$A21,"")</f>
        <v>0</v>
      </c>
      <c r="B21" s="74" t="str">
        <f>IFERROR('Print_B16 Expenses'!$B21,"")</f>
        <v/>
      </c>
      <c r="C21" s="308" t="str">
        <f>IFERROR('Print_B16 Expenses'!$C21,"")</f>
        <v/>
      </c>
      <c r="D21" s="529">
        <f>IFERROR('Print_B16 Expenses'!$D21,"")</f>
        <v>0</v>
      </c>
      <c r="E21" s="530"/>
      <c r="F21" s="530"/>
      <c r="G21" s="530"/>
      <c r="H21" s="531"/>
    </row>
    <row r="22" spans="1:8" ht="42" customHeight="1" x14ac:dyDescent="0.25">
      <c r="A22" s="73">
        <f>IFERROR('Print_B16 Expenses'!$A22,"")</f>
        <v>0</v>
      </c>
      <c r="B22" s="74" t="str">
        <f>IFERROR('Print_B16 Expenses'!$B22,"")</f>
        <v/>
      </c>
      <c r="C22" s="308" t="str">
        <f>IFERROR('Print_B16 Expenses'!$C22,"")</f>
        <v/>
      </c>
      <c r="D22" s="529">
        <f>IFERROR('Print_B16 Expenses'!$D22,"")</f>
        <v>0</v>
      </c>
      <c r="E22" s="530"/>
      <c r="F22" s="530"/>
      <c r="G22" s="530"/>
      <c r="H22" s="531"/>
    </row>
    <row r="23" spans="1:8" ht="42" customHeight="1" x14ac:dyDescent="0.25">
      <c r="A23" s="73">
        <f>IFERROR('Print_B16 Expenses'!$A23,"")</f>
        <v>0</v>
      </c>
      <c r="B23" s="74" t="str">
        <f>IFERROR('Print_B16 Expenses'!$B23,"")</f>
        <v/>
      </c>
      <c r="C23" s="308" t="str">
        <f>IFERROR('Print_B16 Expenses'!$C23,"")</f>
        <v/>
      </c>
      <c r="D23" s="529">
        <f>IFERROR('Print_B16 Expenses'!$D23,"")</f>
        <v>0</v>
      </c>
      <c r="E23" s="530"/>
      <c r="F23" s="530"/>
      <c r="G23" s="530"/>
      <c r="H23" s="531"/>
    </row>
    <row r="24" spans="1:8" ht="42" customHeight="1" x14ac:dyDescent="0.25">
      <c r="A24" s="73">
        <f>IFERROR('Print_B16 Expenses'!$A24,"")</f>
        <v>0</v>
      </c>
      <c r="B24" s="74" t="str">
        <f>IFERROR('Print_B16 Expenses'!$B24,"")</f>
        <v/>
      </c>
      <c r="C24" s="308" t="str">
        <f>IFERROR('Print_B16 Expenses'!$C24,"")</f>
        <v/>
      </c>
      <c r="D24" s="529">
        <f>IFERROR('Print_B16 Expenses'!$D24,"")</f>
        <v>0</v>
      </c>
      <c r="E24" s="530"/>
      <c r="F24" s="530"/>
      <c r="G24" s="530"/>
      <c r="H24" s="531"/>
    </row>
    <row r="25" spans="1:8" ht="42" customHeight="1" x14ac:dyDescent="0.25">
      <c r="A25" s="73">
        <f>IFERROR('Print_B16 Expenses'!$A25,"")</f>
        <v>0</v>
      </c>
      <c r="B25" s="74" t="str">
        <f>IFERROR('Print_B16 Expenses'!$B25,"")</f>
        <v/>
      </c>
      <c r="C25" s="308" t="str">
        <f>IFERROR('Print_B16 Expenses'!$C25,"")</f>
        <v/>
      </c>
      <c r="D25" s="529">
        <f>IFERROR('Print_B16 Expenses'!$D25,"")</f>
        <v>0</v>
      </c>
      <c r="E25" s="530"/>
      <c r="F25" s="530"/>
      <c r="G25" s="530"/>
      <c r="H25" s="531"/>
    </row>
    <row r="26" spans="1:8" ht="42" customHeight="1" x14ac:dyDescent="0.25">
      <c r="A26" s="73">
        <f>IFERROR('Print_B16 Expenses'!$A26,"")</f>
        <v>0</v>
      </c>
      <c r="B26" s="74" t="str">
        <f>IFERROR('Print_B16 Expenses'!$B26,"")</f>
        <v/>
      </c>
      <c r="C26" s="308" t="str">
        <f>IFERROR('Print_B16 Expenses'!$C26,"")</f>
        <v/>
      </c>
      <c r="D26" s="529">
        <f>IFERROR('Print_B16 Expenses'!$D26,"")</f>
        <v>0</v>
      </c>
      <c r="E26" s="530"/>
      <c r="F26" s="530"/>
      <c r="G26" s="530"/>
      <c r="H26" s="531"/>
    </row>
    <row r="27" spans="1:8" ht="42" customHeight="1" x14ac:dyDescent="0.25">
      <c r="A27" s="73">
        <f>IFERROR('Print_B16 Expenses'!$A27,"")</f>
        <v>0</v>
      </c>
      <c r="B27" s="74" t="str">
        <f>IFERROR('Print_B16 Expenses'!$B27,"")</f>
        <v/>
      </c>
      <c r="C27" s="308" t="str">
        <f>IFERROR('Print_B16 Expenses'!$C27,"")</f>
        <v/>
      </c>
      <c r="D27" s="532">
        <f>IFERROR('Print_B16 Expenses'!$D27,"")</f>
        <v>0</v>
      </c>
      <c r="E27" s="533"/>
      <c r="F27" s="533"/>
      <c r="G27" s="533"/>
      <c r="H27" s="534"/>
    </row>
    <row r="28" spans="1:8" ht="21.75" customHeight="1" thickBot="1" x14ac:dyDescent="0.3">
      <c r="A28" s="105" t="str">
        <f>IFERROR('Print_B16 Expenses'!$A28,"")</f>
        <v>Total</v>
      </c>
      <c r="B28" s="106"/>
      <c r="C28" s="107">
        <f>IFERROR('Print_B16 Expenses'!$C28,"")</f>
        <v>0</v>
      </c>
      <c r="D28" s="535"/>
      <c r="E28" s="535"/>
      <c r="F28" s="535"/>
      <c r="G28" s="535"/>
      <c r="H28" s="535"/>
    </row>
    <row r="29" spans="1:8" ht="16.5" customHeight="1" x14ac:dyDescent="0.25">
      <c r="A29" s="313"/>
      <c r="B29" s="313"/>
      <c r="C29" s="313"/>
      <c r="D29" s="313"/>
      <c r="E29" s="313"/>
    </row>
    <row r="30" spans="1:8" x14ac:dyDescent="0.25">
      <c r="A30" s="77"/>
      <c r="B30" s="77"/>
      <c r="C30" s="77"/>
      <c r="D30" s="77"/>
      <c r="E30" s="77"/>
      <c r="F30" s="77"/>
    </row>
    <row r="31" spans="1:8" x14ac:dyDescent="0.25">
      <c r="A31" s="77"/>
      <c r="B31" s="77"/>
      <c r="C31" s="77"/>
      <c r="D31" s="77"/>
      <c r="E31" s="77"/>
      <c r="F31" s="77"/>
    </row>
  </sheetData>
  <sheetProtection algorithmName="SHA-512" hashValue="K2uIYChbrF8wUtDzUIkTiiILYOqAmN2c9XQ38YbsGk5prvyQPNSEfPd3MZXU8hbK+lsNNmnnWy7LUCxB/7YsMw==" saltValue="8lqg5jXsABpS0K01LN9/Sw==" spinCount="100000" sheet="1" objects="1" scenarios="1"/>
  <mergeCells count="12">
    <mergeCell ref="D27:H27"/>
    <mergeCell ref="D28:H28"/>
    <mergeCell ref="D22:H22"/>
    <mergeCell ref="D23:H23"/>
    <mergeCell ref="D24:H24"/>
    <mergeCell ref="D25:H25"/>
    <mergeCell ref="D26:H26"/>
    <mergeCell ref="D17:H17"/>
    <mergeCell ref="D18:H18"/>
    <mergeCell ref="D19:H19"/>
    <mergeCell ref="D20:H20"/>
    <mergeCell ref="D21:H21"/>
  </mergeCells>
  <conditionalFormatting sqref="B4:E14">
    <cfRule type="cellIs" dxfId="6" priority="4" operator="equal">
      <formula>0</formula>
    </cfRule>
  </conditionalFormatting>
  <conditionalFormatting sqref="A5:A14">
    <cfRule type="endsWith" dxfId="5" priority="2" operator="endsWith" text="?">
      <formula>RIGHT(A5,LEN("?"))="?"</formula>
    </cfRule>
  </conditionalFormatting>
  <conditionalFormatting sqref="A5:A14">
    <cfRule type="containsBlanks" dxfId="4" priority="3">
      <formula>LEN(TRIM(A5))=0</formula>
    </cfRule>
  </conditionalFormatting>
  <dataValidations count="3">
    <dataValidation type="textLength" operator="lessThanOrEqual" allowBlank="1" showInputMessage="1" showErrorMessage="1" errorTitle="Invalid value" error="You can enter at most 500 characters in this cell." sqref="D28">
      <formula1>500</formula1>
    </dataValidation>
    <dataValidation allowBlank="1" showInputMessage="1" showErrorMessage="1" errorTitle="Invalid value" error="You can only enter non-negative values." sqref="C28"/>
    <dataValidation allowBlank="1" sqref="A18:C27"/>
  </dataValidations>
  <pageMargins left="0.7" right="0.7" top="0.75" bottom="0.75" header="0.3" footer="0.3"/>
  <pageSetup paperSize="9" scale="68"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F0"/>
    <pageSetUpPr fitToPage="1"/>
  </sheetPr>
  <dimension ref="A1:H44"/>
  <sheetViews>
    <sheetView showGridLines="0" showZeros="0" zoomScale="85" zoomScaleNormal="85" workbookViewId="0"/>
  </sheetViews>
  <sheetFormatPr defaultColWidth="8.85546875" defaultRowHeight="15" x14ac:dyDescent="0.25"/>
  <cols>
    <col min="1" max="1" width="30.42578125" style="50" customWidth="1"/>
    <col min="2" max="8" width="23.7109375" style="50" customWidth="1"/>
    <col min="9" max="9" width="8.85546875" style="50"/>
    <col min="10" max="10" width="23.42578125" style="50" customWidth="1"/>
    <col min="11" max="11" width="13.42578125" style="50" customWidth="1"/>
    <col min="12" max="16384" width="8.85546875" style="50"/>
  </cols>
  <sheetData>
    <row r="1" spans="1:7" ht="21" customHeight="1" x14ac:dyDescent="0.25">
      <c r="A1" s="47" t="s">
        <v>699</v>
      </c>
      <c r="B1" s="48"/>
      <c r="C1" s="48"/>
      <c r="D1" s="48"/>
      <c r="E1" s="48"/>
      <c r="F1" s="49"/>
    </row>
    <row r="2" spans="1:7" ht="15.75" customHeight="1" x14ac:dyDescent="0.25">
      <c r="A2" s="51" t="s">
        <v>693</v>
      </c>
      <c r="B2" s="48"/>
      <c r="C2" s="48"/>
      <c r="D2" s="48"/>
      <c r="E2" s="48"/>
      <c r="F2" s="49"/>
    </row>
    <row r="3" spans="1:7" x14ac:dyDescent="0.25">
      <c r="A3" s="52"/>
      <c r="B3" s="53" t="s">
        <v>829</v>
      </c>
      <c r="C3" s="52" t="s">
        <v>15</v>
      </c>
      <c r="D3" s="52" t="s">
        <v>694</v>
      </c>
      <c r="E3" s="54" t="s">
        <v>695</v>
      </c>
      <c r="F3" s="49"/>
    </row>
    <row r="4" spans="1:7" x14ac:dyDescent="0.25">
      <c r="A4" s="249" t="s">
        <v>783</v>
      </c>
      <c r="B4" s="273" t="str">
        <f>IFERROR(Budget!$B67,"")</f>
        <v/>
      </c>
      <c r="C4" s="85">
        <f>IFERROR(Budget!$L67,"")</f>
        <v>0</v>
      </c>
      <c r="D4" s="85">
        <f>IFERROR(Budget!$M67,"")</f>
        <v>0</v>
      </c>
      <c r="E4" s="84">
        <f>IFERROR(SUM($B4:$D4),"")</f>
        <v>0</v>
      </c>
      <c r="F4" s="49"/>
    </row>
    <row r="5" spans="1:7" ht="26.25" x14ac:dyDescent="0.25">
      <c r="A5" s="250" t="s">
        <v>800</v>
      </c>
      <c r="B5" s="112" t="str">
        <f>IFERROR(Budget!$B68,"")</f>
        <v/>
      </c>
      <c r="C5" s="113">
        <f>IFERROR(Budget!$L68,"")</f>
        <v>0</v>
      </c>
      <c r="D5" s="113">
        <f>IFERROR(Budget!$M68,"")</f>
        <v>0</v>
      </c>
      <c r="E5" s="114">
        <f>IFERROR(SUM($B5:$D5),"")</f>
        <v>0</v>
      </c>
      <c r="F5" s="49"/>
      <c r="G5" s="97"/>
    </row>
    <row r="6" spans="1:7" x14ac:dyDescent="0.25">
      <c r="A6" s="59" t="s">
        <v>824</v>
      </c>
      <c r="B6" s="56" t="str">
        <f>IFERROR(Budget!$B69,"")</f>
        <v/>
      </c>
      <c r="C6" s="363">
        <f>IFERROR(Budget!$L69,"")</f>
        <v>0</v>
      </c>
      <c r="D6" s="363">
        <f>IFERROR(Budget!$M69,"")</f>
        <v>0</v>
      </c>
      <c r="E6" s="58">
        <f>IFERROR(SUM($B6:$D6),"")</f>
        <v>0</v>
      </c>
      <c r="F6" s="49"/>
      <c r="G6" s="96"/>
    </row>
    <row r="7" spans="1:7" x14ac:dyDescent="0.25">
      <c r="A7" s="110" t="s">
        <v>830</v>
      </c>
      <c r="B7" s="108" t="str">
        <f>IFERROR(Budget!$B70,"")</f>
        <v/>
      </c>
      <c r="C7" s="362">
        <f>IFERROR(Budget!$L70,"")</f>
        <v>0</v>
      </c>
      <c r="D7" s="362">
        <f>IFERROR(Budget!$M70,"")</f>
        <v>0</v>
      </c>
      <c r="E7" s="109">
        <f t="shared" ref="E7:E11" si="0">IFERROR(SUM($B7:$D7),"")</f>
        <v>0</v>
      </c>
      <c r="F7" s="49"/>
      <c r="G7" s="96"/>
    </row>
    <row r="8" spans="1:7" x14ac:dyDescent="0.25">
      <c r="A8" s="111" t="s">
        <v>786</v>
      </c>
      <c r="B8" s="82" t="str">
        <f>IFERROR(Budget!$B71,"")</f>
        <v/>
      </c>
      <c r="C8" s="361" t="str">
        <f>IFERROR(Budget!$L71,"")</f>
        <v/>
      </c>
      <c r="D8" s="361" t="str">
        <f>IFERROR(Budget!$M71,"")</f>
        <v/>
      </c>
      <c r="E8" s="87">
        <f t="shared" si="0"/>
        <v>0</v>
      </c>
      <c r="F8" s="49"/>
      <c r="G8" s="96"/>
    </row>
    <row r="9" spans="1:7" x14ac:dyDescent="0.25">
      <c r="A9" s="59" t="s">
        <v>785</v>
      </c>
      <c r="B9" s="112" t="str">
        <f>IFERROR(Budget!$B72,"")</f>
        <v/>
      </c>
      <c r="C9" s="363">
        <f>IFERROR(Budget!$L72,"")</f>
        <v>0</v>
      </c>
      <c r="D9" s="363">
        <f>IFERROR(Budget!$M72,"")</f>
        <v>0</v>
      </c>
      <c r="E9" s="114">
        <f t="shared" si="0"/>
        <v>0</v>
      </c>
      <c r="F9" s="49"/>
      <c r="G9" s="96"/>
    </row>
    <row r="10" spans="1:7" x14ac:dyDescent="0.25">
      <c r="A10" s="60" t="s">
        <v>29</v>
      </c>
      <c r="B10" s="112" t="str">
        <f>IFERROR(Budget!$B73,"")</f>
        <v/>
      </c>
      <c r="C10" s="363">
        <f>IFERROR(Budget!$L73,"")</f>
        <v>0</v>
      </c>
      <c r="D10" s="363">
        <f>IFERROR(Budget!$M73,"")</f>
        <v>0</v>
      </c>
      <c r="E10" s="114">
        <f t="shared" si="0"/>
        <v>0</v>
      </c>
      <c r="F10" s="49"/>
      <c r="G10" s="96"/>
    </row>
    <row r="11" spans="1:7" x14ac:dyDescent="0.25">
      <c r="A11" s="65" t="s">
        <v>39</v>
      </c>
      <c r="B11" s="61" t="str">
        <f>IFERROR(Budget!$B74,"")</f>
        <v/>
      </c>
      <c r="C11" s="360">
        <f>IFERROR(Budget!$L74,"")</f>
        <v>0</v>
      </c>
      <c r="D11" s="360">
        <f>IFERROR(Budget!$M74,"")</f>
        <v>0</v>
      </c>
      <c r="E11" s="63">
        <f t="shared" si="0"/>
        <v>0</v>
      </c>
      <c r="F11" s="49"/>
      <c r="G11" s="96"/>
    </row>
    <row r="12" spans="1:7" x14ac:dyDescent="0.25">
      <c r="A12" s="64" t="s">
        <v>816</v>
      </c>
      <c r="B12" s="82" t="str">
        <f>IFERROR(Budget!$B75,"")</f>
        <v/>
      </c>
      <c r="C12" s="359" t="str">
        <f>IFERROR(Budget!$L75,"")</f>
        <v/>
      </c>
      <c r="D12" s="359" t="str">
        <f>IFERROR(Budget!$M75,"")</f>
        <v/>
      </c>
      <c r="E12" s="87">
        <f>IFERROR(SUM($B12:$D12),"")</f>
        <v>0</v>
      </c>
      <c r="F12" s="49"/>
      <c r="G12" s="96"/>
    </row>
    <row r="13" spans="1:7" x14ac:dyDescent="0.25">
      <c r="A13" s="65" t="s">
        <v>836</v>
      </c>
      <c r="B13" s="61" t="str">
        <f>IFERROR(Budget!$B76,"")</f>
        <v/>
      </c>
      <c r="C13" s="66" t="s">
        <v>696</v>
      </c>
      <c r="D13" s="66" t="s">
        <v>696</v>
      </c>
      <c r="E13" s="63" t="str">
        <f>IFERROR(Budget!$B76,"")</f>
        <v/>
      </c>
      <c r="F13" s="49"/>
      <c r="G13" s="96"/>
    </row>
    <row r="14" spans="1:7" x14ac:dyDescent="0.25">
      <c r="A14" s="67" t="s">
        <v>695</v>
      </c>
      <c r="B14" s="68" t="str">
        <f>IFERROR(Budget!$B77,"")</f>
        <v/>
      </c>
      <c r="C14" s="69" t="str">
        <f>IFERROR(Budget!$L75,"")</f>
        <v/>
      </c>
      <c r="D14" s="70" t="str">
        <f>IFERROR(Budget!$M75,"")</f>
        <v/>
      </c>
      <c r="E14" s="69">
        <f>IFERROR(SUM($B14:$D14),"")</f>
        <v>0</v>
      </c>
      <c r="F14" s="71"/>
      <c r="G14" s="96"/>
    </row>
    <row r="15" spans="1:7" ht="10.5" customHeight="1" x14ac:dyDescent="0.25">
      <c r="A15" s="49"/>
      <c r="B15" s="49"/>
      <c r="C15" s="49"/>
      <c r="D15" s="49"/>
      <c r="E15" s="49"/>
      <c r="F15" s="49"/>
    </row>
    <row r="16" spans="1:7" ht="21" customHeight="1" x14ac:dyDescent="0.25">
      <c r="A16" s="72" t="s">
        <v>831</v>
      </c>
    </row>
    <row r="17" spans="1:8" ht="28.5" customHeight="1" thickBot="1" x14ac:dyDescent="0.3">
      <c r="A17" s="306" t="s">
        <v>697</v>
      </c>
      <c r="B17" s="307" t="s">
        <v>7</v>
      </c>
      <c r="C17" s="307" t="s">
        <v>835</v>
      </c>
      <c r="D17" s="538" t="s">
        <v>739</v>
      </c>
      <c r="E17" s="538"/>
      <c r="F17" s="538"/>
      <c r="G17" s="538"/>
      <c r="H17" s="538"/>
    </row>
    <row r="18" spans="1:8" ht="42.95" customHeight="1" x14ac:dyDescent="0.25">
      <c r="A18" s="73">
        <f>IFERROR(Budget!$A54,"")</f>
        <v>0</v>
      </c>
      <c r="B18" s="74" t="str">
        <f>IFERROR(Budget!$C54,"")</f>
        <v/>
      </c>
      <c r="C18" s="308" t="str">
        <f>IFERROR(Budget!$M54,"")</f>
        <v/>
      </c>
      <c r="D18" s="539">
        <f>IFERROR(Budget!$Q54,"")</f>
        <v>0</v>
      </c>
      <c r="E18" s="540"/>
      <c r="F18" s="540"/>
      <c r="G18" s="540"/>
      <c r="H18" s="541"/>
    </row>
    <row r="19" spans="1:8" ht="42.95" customHeight="1" x14ac:dyDescent="0.25">
      <c r="A19" s="73">
        <f>IFERROR(Budget!$A55,"")</f>
        <v>0</v>
      </c>
      <c r="B19" s="74" t="str">
        <f>IFERROR(Budget!$C55,"")</f>
        <v/>
      </c>
      <c r="C19" s="308" t="str">
        <f>IFERROR(Budget!$M55,"")</f>
        <v/>
      </c>
      <c r="D19" s="539">
        <f>IFERROR(Budget!$Q55,"")</f>
        <v>0</v>
      </c>
      <c r="E19" s="540"/>
      <c r="F19" s="540"/>
      <c r="G19" s="540"/>
      <c r="H19" s="541"/>
    </row>
    <row r="20" spans="1:8" ht="42.95" customHeight="1" x14ac:dyDescent="0.25">
      <c r="A20" s="73">
        <f>IFERROR(Budget!$A56,"")</f>
        <v>0</v>
      </c>
      <c r="B20" s="74" t="str">
        <f>IFERROR(Budget!$C56,"")</f>
        <v/>
      </c>
      <c r="C20" s="308" t="str">
        <f>IFERROR(Budget!$M56,"")</f>
        <v/>
      </c>
      <c r="D20" s="539">
        <f>IFERROR(Budget!$Q56,"")</f>
        <v>0</v>
      </c>
      <c r="E20" s="540"/>
      <c r="F20" s="540"/>
      <c r="G20" s="540"/>
      <c r="H20" s="541"/>
    </row>
    <row r="21" spans="1:8" ht="42.95" customHeight="1" x14ac:dyDescent="0.25">
      <c r="A21" s="73">
        <f>IFERROR(Budget!$A57,"")</f>
        <v>0</v>
      </c>
      <c r="B21" s="74" t="str">
        <f>IFERROR(Budget!$C57,"")</f>
        <v/>
      </c>
      <c r="C21" s="308" t="str">
        <f>IFERROR(Budget!$M57,"")</f>
        <v/>
      </c>
      <c r="D21" s="539">
        <f>IFERROR(Budget!$Q57,"")</f>
        <v>0</v>
      </c>
      <c r="E21" s="540"/>
      <c r="F21" s="540"/>
      <c r="G21" s="540"/>
      <c r="H21" s="541"/>
    </row>
    <row r="22" spans="1:8" ht="42.95" customHeight="1" x14ac:dyDescent="0.25">
      <c r="A22" s="73">
        <f>IFERROR(Budget!$A58,"")</f>
        <v>0</v>
      </c>
      <c r="B22" s="74" t="str">
        <f>IFERROR(Budget!$C58,"")</f>
        <v/>
      </c>
      <c r="C22" s="308" t="str">
        <f>IFERROR(Budget!$M58,"")</f>
        <v/>
      </c>
      <c r="D22" s="539">
        <f>IFERROR(Budget!$Q58,"")</f>
        <v>0</v>
      </c>
      <c r="E22" s="540"/>
      <c r="F22" s="540"/>
      <c r="G22" s="540"/>
      <c r="H22" s="541"/>
    </row>
    <row r="23" spans="1:8" ht="42.95" customHeight="1" x14ac:dyDescent="0.25">
      <c r="A23" s="73">
        <f>IFERROR(Budget!$A59,"")</f>
        <v>0</v>
      </c>
      <c r="B23" s="74" t="str">
        <f>IFERROR(Budget!$C59,"")</f>
        <v/>
      </c>
      <c r="C23" s="308" t="str">
        <f>IFERROR(Budget!$M59,"")</f>
        <v/>
      </c>
      <c r="D23" s="539">
        <f>IFERROR(Budget!$Q59,"")</f>
        <v>0</v>
      </c>
      <c r="E23" s="540"/>
      <c r="F23" s="540"/>
      <c r="G23" s="540"/>
      <c r="H23" s="541"/>
    </row>
    <row r="24" spans="1:8" ht="42.95" customHeight="1" x14ac:dyDescent="0.25">
      <c r="A24" s="73">
        <f>IFERROR(Budget!$A60,"")</f>
        <v>0</v>
      </c>
      <c r="B24" s="74" t="str">
        <f>IFERROR(Budget!$C60,"")</f>
        <v/>
      </c>
      <c r="C24" s="308" t="str">
        <f>IFERROR(Budget!$M60,"")</f>
        <v/>
      </c>
      <c r="D24" s="539">
        <f>IFERROR(Budget!$Q60,"")</f>
        <v>0</v>
      </c>
      <c r="E24" s="540"/>
      <c r="F24" s="540"/>
      <c r="G24" s="540"/>
      <c r="H24" s="541"/>
    </row>
    <row r="25" spans="1:8" ht="42.95" customHeight="1" x14ac:dyDescent="0.25">
      <c r="A25" s="73">
        <f>IFERROR(Budget!$A61,"")</f>
        <v>0</v>
      </c>
      <c r="B25" s="74" t="str">
        <f>IFERROR(Budget!$C61,"")</f>
        <v/>
      </c>
      <c r="C25" s="308" t="str">
        <f>IFERROR(Budget!$M61,"")</f>
        <v/>
      </c>
      <c r="D25" s="539">
        <f>IFERROR(Budget!$Q61,"")</f>
        <v>0</v>
      </c>
      <c r="E25" s="540"/>
      <c r="F25" s="540"/>
      <c r="G25" s="540"/>
      <c r="H25" s="541"/>
    </row>
    <row r="26" spans="1:8" ht="42.95" customHeight="1" x14ac:dyDescent="0.25">
      <c r="A26" s="73">
        <f>IFERROR(Budget!$A62,"")</f>
        <v>0</v>
      </c>
      <c r="B26" s="74" t="str">
        <f>IFERROR(Budget!$C62,"")</f>
        <v/>
      </c>
      <c r="C26" s="308" t="str">
        <f>IFERROR(Budget!$M62,"")</f>
        <v/>
      </c>
      <c r="D26" s="539">
        <f>IFERROR(Budget!$Q62,"")</f>
        <v>0</v>
      </c>
      <c r="E26" s="540"/>
      <c r="F26" s="540"/>
      <c r="G26" s="540"/>
      <c r="H26" s="541"/>
    </row>
    <row r="27" spans="1:8" ht="42.95" customHeight="1" x14ac:dyDescent="0.25">
      <c r="A27" s="75">
        <f>IFERROR(Budget!$A63,"")</f>
        <v>0</v>
      </c>
      <c r="B27" s="76" t="str">
        <f>IFERROR(Budget!$C63,"")</f>
        <v/>
      </c>
      <c r="C27" s="308" t="str">
        <f>IFERROR(Budget!$M63,"")</f>
        <v/>
      </c>
      <c r="D27" s="539">
        <f>IFERROR(Budget!$Q63,"")</f>
        <v>0</v>
      </c>
      <c r="E27" s="540"/>
      <c r="F27" s="540"/>
      <c r="G27" s="540"/>
      <c r="H27" s="541"/>
    </row>
    <row r="28" spans="1:8" ht="16.5" customHeight="1" thickBot="1" x14ac:dyDescent="0.3">
      <c r="A28" s="105" t="s">
        <v>688</v>
      </c>
      <c r="B28" s="106"/>
      <c r="C28" s="107">
        <f>SUM($C$18:$C$27)</f>
        <v>0</v>
      </c>
      <c r="D28" s="309"/>
      <c r="E28" s="537"/>
      <c r="F28" s="537"/>
      <c r="G28" s="537"/>
      <c r="H28" s="537"/>
    </row>
    <row r="29" spans="1:8" ht="42.95" customHeight="1" x14ac:dyDescent="0.25">
      <c r="A29" s="536"/>
      <c r="B29" s="536"/>
      <c r="C29" s="536"/>
      <c r="D29" s="536"/>
      <c r="E29" s="536"/>
      <c r="F29" s="77"/>
      <c r="G29" s="77"/>
    </row>
    <row r="30" spans="1:8" ht="42.95" customHeight="1" x14ac:dyDescent="0.25">
      <c r="A30" s="77"/>
      <c r="B30" s="77"/>
      <c r="C30" s="77"/>
      <c r="D30" s="77"/>
      <c r="E30" s="77"/>
      <c r="F30" s="77"/>
    </row>
    <row r="31" spans="1:8" ht="42.95" customHeight="1" x14ac:dyDescent="0.25">
      <c r="A31" s="77"/>
      <c r="B31" s="77"/>
      <c r="C31" s="77"/>
      <c r="D31" s="77"/>
      <c r="E31" s="77"/>
      <c r="F31" s="77"/>
    </row>
    <row r="32" spans="1:8" ht="42.95" customHeight="1" x14ac:dyDescent="0.25"/>
    <row r="33" ht="42.95" customHeight="1" x14ac:dyDescent="0.25"/>
    <row r="34" ht="42.95" customHeight="1" x14ac:dyDescent="0.25"/>
    <row r="35" ht="42.95" customHeight="1" x14ac:dyDescent="0.25"/>
    <row r="36" ht="42.95" customHeight="1" x14ac:dyDescent="0.25"/>
    <row r="37" ht="42.95" customHeight="1" x14ac:dyDescent="0.25"/>
    <row r="38" ht="42.95" customHeight="1" x14ac:dyDescent="0.25"/>
    <row r="39" ht="42.95" customHeight="1" x14ac:dyDescent="0.25"/>
    <row r="40" ht="42.95" customHeight="1" x14ac:dyDescent="0.25"/>
    <row r="41" ht="42.95" customHeight="1" x14ac:dyDescent="0.25"/>
    <row r="42" ht="42.95" customHeight="1" x14ac:dyDescent="0.25"/>
    <row r="43" ht="21.75" customHeight="1" x14ac:dyDescent="0.25"/>
    <row r="44" ht="36.75" customHeight="1" x14ac:dyDescent="0.25"/>
  </sheetData>
  <sheetProtection algorithmName="SHA-512" hashValue="qxH8ggZ3bZns+TtKQNVzNYr+l4KnMMNR17eTaoYdrppj4MQRztDlN/DIHUsttSWUTw//CsJdQ2uG3bLEfFhI/Q==" saltValue="maYmcPpje/MjrFhzfx2CdQ==" spinCount="100000" sheet="1" objects="1" scenarios="1"/>
  <mergeCells count="13">
    <mergeCell ref="A29:E29"/>
    <mergeCell ref="E28:H28"/>
    <mergeCell ref="D17:H17"/>
    <mergeCell ref="D18:H18"/>
    <mergeCell ref="D19:H19"/>
    <mergeCell ref="D20:H20"/>
    <mergeCell ref="D21:H21"/>
    <mergeCell ref="D27:H27"/>
    <mergeCell ref="D22:H22"/>
    <mergeCell ref="D23:H23"/>
    <mergeCell ref="D24:H24"/>
    <mergeCell ref="D25:H25"/>
    <mergeCell ref="D26:H26"/>
  </mergeCells>
  <conditionalFormatting sqref="B4:E14">
    <cfRule type="cellIs" dxfId="3" priority="4" operator="equal">
      <formula>0</formula>
    </cfRule>
  </conditionalFormatting>
  <conditionalFormatting sqref="A5:A13">
    <cfRule type="endsWith" dxfId="2" priority="2" operator="endsWith" text="?">
      <formula>RIGHT(A5,LEN("?"))="?"</formula>
    </cfRule>
  </conditionalFormatting>
  <conditionalFormatting sqref="A5:A13">
    <cfRule type="containsBlanks" dxfId="1" priority="3">
      <formula>LEN(TRIM(A5))=0</formula>
    </cfRule>
  </conditionalFormatting>
  <conditionalFormatting sqref="D14">
    <cfRule type="cellIs" dxfId="0" priority="1" operator="equal">
      <formula>0</formula>
    </cfRule>
  </conditionalFormatting>
  <dataValidations count="3">
    <dataValidation allowBlank="1" showInputMessage="1" showErrorMessage="1" errorTitle="Invalid value" error="You can only enter non-negative values." sqref="C28"/>
    <dataValidation type="textLength" operator="lessThanOrEqual" allowBlank="1" showInputMessage="1" showErrorMessage="1" errorTitle="Invalid value" error="You can enter at most 500 characters in this cell." sqref="D28">
      <formula1>500</formula1>
    </dataValidation>
    <dataValidation allowBlank="1" sqref="A18:C27"/>
  </dataValidations>
  <pageMargins left="0.70866141732283472" right="0.70866141732283472" top="0.74803149606299213" bottom="0.74803149606299213" header="0.31496062992125984" footer="0.31496062992125984"/>
  <pageSetup paperSize="9" scale="67" orientation="landscape" r:id="rId1"/>
  <headerFooter>
    <oddHeader>&amp;R&amp;"-,Bold"&amp;16&amp;K014A69Independent Research Fund Denmark</oddHeader>
  </headerFooter>
  <ignoredErrors>
    <ignoredError sqref="E13"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6" tint="0.39997558519241921"/>
  </sheetPr>
  <dimension ref="A1:D16"/>
  <sheetViews>
    <sheetView showGridLines="0" zoomScale="85" zoomScaleNormal="85" workbookViewId="0">
      <selection sqref="A1:D1"/>
    </sheetView>
  </sheetViews>
  <sheetFormatPr defaultColWidth="8.85546875" defaultRowHeight="15" x14ac:dyDescent="0.25"/>
  <cols>
    <col min="1" max="1" width="34.7109375" style="14" customWidth="1"/>
    <col min="2" max="2" width="9.28515625" style="14" customWidth="1"/>
    <col min="3" max="3" width="30.7109375" style="14" customWidth="1"/>
    <col min="4" max="4" width="16.7109375" style="14" customWidth="1"/>
    <col min="5" max="16384" width="8.85546875" style="14"/>
  </cols>
  <sheetData>
    <row r="1" spans="1:4" ht="15.75" thickBot="1" x14ac:dyDescent="0.3">
      <c r="A1" s="547" t="s">
        <v>726</v>
      </c>
      <c r="B1" s="548"/>
      <c r="C1" s="548"/>
      <c r="D1" s="549"/>
    </row>
    <row r="2" spans="1:4" x14ac:dyDescent="0.25">
      <c r="A2" s="550" t="s">
        <v>727</v>
      </c>
      <c r="B2" s="551"/>
      <c r="C2" s="551"/>
      <c r="D2" s="25" t="s">
        <v>13</v>
      </c>
    </row>
    <row r="3" spans="1:4" x14ac:dyDescent="0.25">
      <c r="A3" s="542" t="s">
        <v>728</v>
      </c>
      <c r="B3" s="543"/>
      <c r="C3" s="543"/>
      <c r="D3" s="552">
        <v>0.44</v>
      </c>
    </row>
    <row r="4" spans="1:4" x14ac:dyDescent="0.25">
      <c r="A4" s="542"/>
      <c r="B4" s="543"/>
      <c r="C4" s="543"/>
      <c r="D4" s="553"/>
    </row>
    <row r="5" spans="1:4" ht="23.25" customHeight="1" x14ac:dyDescent="0.25">
      <c r="A5" s="542"/>
      <c r="B5" s="543"/>
      <c r="C5" s="543"/>
      <c r="D5" s="553"/>
    </row>
    <row r="6" spans="1:4" x14ac:dyDescent="0.25">
      <c r="A6" s="542" t="s">
        <v>729</v>
      </c>
      <c r="B6" s="543"/>
      <c r="C6" s="543"/>
      <c r="D6" s="26">
        <v>0.2</v>
      </c>
    </row>
    <row r="7" spans="1:4" x14ac:dyDescent="0.25">
      <c r="A7" s="554" t="s">
        <v>730</v>
      </c>
      <c r="B7" s="555"/>
      <c r="C7" s="556"/>
      <c r="D7" s="563">
        <v>0.2</v>
      </c>
    </row>
    <row r="8" spans="1:4" x14ac:dyDescent="0.25">
      <c r="A8" s="557"/>
      <c r="B8" s="558"/>
      <c r="C8" s="559"/>
      <c r="D8" s="564"/>
    </row>
    <row r="9" spans="1:4" x14ac:dyDescent="0.25">
      <c r="A9" s="557"/>
      <c r="B9" s="558"/>
      <c r="C9" s="559"/>
      <c r="D9" s="564"/>
    </row>
    <row r="10" spans="1:4" x14ac:dyDescent="0.25">
      <c r="A10" s="557"/>
      <c r="B10" s="558"/>
      <c r="C10" s="559"/>
      <c r="D10" s="564"/>
    </row>
    <row r="11" spans="1:4" x14ac:dyDescent="0.25">
      <c r="A11" s="557"/>
      <c r="B11" s="558"/>
      <c r="C11" s="559"/>
      <c r="D11" s="564"/>
    </row>
    <row r="12" spans="1:4" ht="12.75" customHeight="1" x14ac:dyDescent="0.25">
      <c r="A12" s="560"/>
      <c r="B12" s="561"/>
      <c r="C12" s="562"/>
      <c r="D12" s="564"/>
    </row>
    <row r="13" spans="1:4" x14ac:dyDescent="0.25">
      <c r="A13" s="542" t="s">
        <v>818</v>
      </c>
      <c r="B13" s="543"/>
      <c r="C13" s="543"/>
      <c r="D13" s="27">
        <v>3.1E-2</v>
      </c>
    </row>
    <row r="14" spans="1:4" x14ac:dyDescent="0.25">
      <c r="A14" s="542" t="s">
        <v>815</v>
      </c>
      <c r="B14" s="543"/>
      <c r="C14" s="543"/>
      <c r="D14" s="544">
        <v>3.1E-2</v>
      </c>
    </row>
    <row r="15" spans="1:4" x14ac:dyDescent="0.25">
      <c r="A15" s="542"/>
      <c r="B15" s="543"/>
      <c r="C15" s="543"/>
      <c r="D15" s="544"/>
    </row>
    <row r="16" spans="1:4" ht="15.75" thickBot="1" x14ac:dyDescent="0.3">
      <c r="A16" s="545" t="s">
        <v>731</v>
      </c>
      <c r="B16" s="546"/>
      <c r="C16" s="546"/>
      <c r="D16" s="28">
        <v>0</v>
      </c>
    </row>
  </sheetData>
  <sheetProtection algorithmName="SHA-512" hashValue="Ovkf02zy31WoIf04BHH/RPyHr5XVOjizi8yYO2Hj7qb42bZGLNvGTE3nEoNLdUWYVPouynsJRn3jvt+gReekZA==" saltValue="3WYAViZzWKfGxOgUe9SV0A==" spinCount="100000" sheet="1" objects="1" scenarios="1"/>
  <mergeCells count="11">
    <mergeCell ref="A13:C13"/>
    <mergeCell ref="A14:C15"/>
    <mergeCell ref="D14:D15"/>
    <mergeCell ref="A16:C16"/>
    <mergeCell ref="A1:D1"/>
    <mergeCell ref="A2:C2"/>
    <mergeCell ref="A3:C5"/>
    <mergeCell ref="D3:D5"/>
    <mergeCell ref="A6:C6"/>
    <mergeCell ref="A7:C12"/>
    <mergeCell ref="D7:D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rgb="FF0070C0"/>
    <pageSetUpPr fitToPage="1"/>
  </sheetPr>
  <dimension ref="A1:AA83"/>
  <sheetViews>
    <sheetView zoomScale="85" zoomScaleNormal="85" workbookViewId="0">
      <selection sqref="A1:M1"/>
    </sheetView>
  </sheetViews>
  <sheetFormatPr defaultColWidth="9.140625" defaultRowHeight="15" x14ac:dyDescent="0.25"/>
  <cols>
    <col min="1" max="1" width="25.7109375" style="352" customWidth="1"/>
    <col min="2" max="2" width="12.7109375" style="352" customWidth="1"/>
    <col min="3" max="11" width="9.7109375" style="352" customWidth="1"/>
    <col min="12" max="13" width="12.28515625" style="352" customWidth="1"/>
    <col min="14" max="14" width="9.140625" style="352"/>
    <col min="15" max="15" width="25.7109375" style="352" customWidth="1"/>
    <col min="16" max="16" width="12.7109375" style="352" customWidth="1"/>
    <col min="17" max="25" width="9.7109375" style="352" customWidth="1"/>
    <col min="26" max="27" width="12.28515625" style="352" customWidth="1"/>
    <col min="28" max="16384" width="9.140625" style="352"/>
  </cols>
  <sheetData>
    <row r="1" spans="1:27" ht="19.5" thickBot="1" x14ac:dyDescent="0.35">
      <c r="A1" s="512" t="s">
        <v>1</v>
      </c>
      <c r="B1" s="513"/>
      <c r="C1" s="513"/>
      <c r="D1" s="513"/>
      <c r="E1" s="513"/>
      <c r="F1" s="513"/>
      <c r="G1" s="513"/>
      <c r="H1" s="513"/>
      <c r="I1" s="513"/>
      <c r="J1" s="513"/>
      <c r="K1" s="513"/>
      <c r="L1" s="513"/>
      <c r="M1" s="514"/>
      <c r="O1" s="512" t="s">
        <v>10</v>
      </c>
      <c r="P1" s="513"/>
      <c r="Q1" s="513"/>
      <c r="R1" s="513"/>
      <c r="S1" s="513"/>
      <c r="T1" s="513"/>
      <c r="U1" s="513"/>
      <c r="V1" s="513"/>
      <c r="W1" s="513"/>
      <c r="X1" s="513"/>
      <c r="Y1" s="513"/>
      <c r="Z1" s="513"/>
      <c r="AA1" s="514"/>
    </row>
    <row r="2" spans="1:27" ht="26.25" thickBot="1" x14ac:dyDescent="0.3">
      <c r="A2" s="130" t="s">
        <v>825</v>
      </c>
      <c r="B2" s="388" t="s">
        <v>688</v>
      </c>
      <c r="C2" s="390">
        <f>FirstYear</f>
        <v>2021</v>
      </c>
      <c r="D2" s="390">
        <f>FirstYear+1</f>
        <v>2022</v>
      </c>
      <c r="E2" s="390">
        <f>FirstYear+2</f>
        <v>2023</v>
      </c>
      <c r="F2" s="390">
        <f>FirstYear+3</f>
        <v>2024</v>
      </c>
      <c r="G2" s="390">
        <f>FirstYear+4</f>
        <v>2025</v>
      </c>
      <c r="H2" s="390">
        <f>FirstYear+5</f>
        <v>2026</v>
      </c>
      <c r="I2" s="390">
        <f>FirstYear+6</f>
        <v>2027</v>
      </c>
      <c r="J2" s="390">
        <f>FirstYear+7</f>
        <v>2028</v>
      </c>
      <c r="K2" s="390">
        <f>FirstYear+8</f>
        <v>2029</v>
      </c>
      <c r="L2" s="391" t="s">
        <v>15</v>
      </c>
      <c r="M2" s="392" t="s">
        <v>689</v>
      </c>
      <c r="O2" s="130" t="s">
        <v>825</v>
      </c>
      <c r="P2" s="388" t="s">
        <v>688</v>
      </c>
      <c r="Q2" s="390">
        <f>FirstYear</f>
        <v>2021</v>
      </c>
      <c r="R2" s="390">
        <f>FirstYear+1</f>
        <v>2022</v>
      </c>
      <c r="S2" s="390">
        <f>FirstYear+2</f>
        <v>2023</v>
      </c>
      <c r="T2" s="390">
        <f>FirstYear+3</f>
        <v>2024</v>
      </c>
      <c r="U2" s="390">
        <f>FirstYear+4</f>
        <v>2025</v>
      </c>
      <c r="V2" s="390">
        <f>FirstYear+5</f>
        <v>2026</v>
      </c>
      <c r="W2" s="390">
        <f>FirstYear+6</f>
        <v>2027</v>
      </c>
      <c r="X2" s="390">
        <f>FirstYear+7</f>
        <v>2028</v>
      </c>
      <c r="Y2" s="390">
        <f>FirstYear+8</f>
        <v>2029</v>
      </c>
      <c r="Z2" s="391" t="s">
        <v>15</v>
      </c>
      <c r="AA2" s="392" t="s">
        <v>689</v>
      </c>
    </row>
    <row r="3" spans="1:27" x14ac:dyDescent="0.25">
      <c r="A3" s="175" t="s">
        <v>783</v>
      </c>
      <c r="B3" s="334" t="str">
        <f t="shared" ref="B3:B13" si="0">IFERROR(IF(SUM(C3:K3)=0, "", SUM(C3:K3)),"")</f>
        <v/>
      </c>
      <c r="C3" s="212">
        <f>IFERROR(Budget!$H$26,"")</f>
        <v>0</v>
      </c>
      <c r="D3" s="212">
        <f>IFERROR(Budget!$I$26,"")</f>
        <v>0</v>
      </c>
      <c r="E3" s="212">
        <f>IFERROR(Budget!$J$26,"")</f>
        <v>0</v>
      </c>
      <c r="F3" s="212">
        <f>IFERROR(Budget!$K$26,"")</f>
        <v>0</v>
      </c>
      <c r="G3" s="213">
        <f>IFERROR(Budget!$L$26,"")</f>
        <v>0</v>
      </c>
      <c r="H3" s="213">
        <f>IFERROR(Budget!$M$26,"")</f>
        <v>0</v>
      </c>
      <c r="I3" s="214">
        <f>IFERROR(Budget!$N$26,"")</f>
        <v>0</v>
      </c>
      <c r="J3" s="213">
        <f>IFERROR(Budget!$O$26,"")</f>
        <v>0</v>
      </c>
      <c r="K3" s="213">
        <f>IFERROR(Budget!$P$26,"")</f>
        <v>0</v>
      </c>
      <c r="L3" s="215">
        <f>IFERROR(Budget!$S$26,"")</f>
        <v>0</v>
      </c>
      <c r="M3" s="216">
        <f>IFERROR(Budget!$U$26,"")</f>
        <v>0</v>
      </c>
      <c r="O3" s="175" t="s">
        <v>783</v>
      </c>
      <c r="P3" s="334"/>
      <c r="Q3" s="212"/>
      <c r="R3" s="212"/>
      <c r="S3" s="212"/>
      <c r="T3" s="212"/>
      <c r="U3" s="213"/>
      <c r="V3" s="213"/>
      <c r="W3" s="214"/>
      <c r="X3" s="213"/>
      <c r="Y3" s="213"/>
      <c r="Z3" s="215"/>
      <c r="AA3" s="216"/>
    </row>
    <row r="4" spans="1:27" x14ac:dyDescent="0.25">
      <c r="A4" s="243" t="s">
        <v>798</v>
      </c>
      <c r="B4" s="335" t="str">
        <f t="shared" si="0"/>
        <v/>
      </c>
      <c r="C4" s="244">
        <f>IFERROR(SUMIFS(FirstYearP,Participants2,A4,InsitutionP,A1),"")</f>
        <v>0</v>
      </c>
      <c r="D4" s="244">
        <f>IFERROR(SUMIFS(SecondYearP,Participants2,A4,InsitutionP,A1),"")</f>
        <v>0</v>
      </c>
      <c r="E4" s="244">
        <f>IFERROR(SUMIFS(ThirdYearP,Participants2,A4,InsitutionP,A1),"")</f>
        <v>0</v>
      </c>
      <c r="F4" s="244">
        <f>IFERROR(SUMIFS(FourthYearP,Participants2,A4,InsitutionP,A1),"")</f>
        <v>0</v>
      </c>
      <c r="G4" s="244">
        <f>IFERROR(SUMIFS(FifthYearP,Participants2,A4,InsitutionP,A1),"")</f>
        <v>0</v>
      </c>
      <c r="H4" s="244">
        <f>IFERROR(SUMIFS(SixthYearP,Participants2,A4,InsitutionP,A1),"")</f>
        <v>0</v>
      </c>
      <c r="I4" s="244">
        <f>IFERROR(SUMIFS(SeventhYearP,Participants2,A4,InsitutionP,A1),"")</f>
        <v>0</v>
      </c>
      <c r="J4" s="367">
        <f>IFERROR(SUMIFS(EighthYearP,Participants2,A4,InsitutionP,A1),"")</f>
        <v>0</v>
      </c>
      <c r="K4" s="367">
        <f>IFERROR(SUMIFS(NinthYearP,Participants2,A4,InsitutionP,A1),"")</f>
        <v>0</v>
      </c>
      <c r="L4" s="247">
        <f>IFERROR(SUMIFS(CoFinancingP,Participants2,A4,InsitutionP,A1),"")</f>
        <v>0</v>
      </c>
      <c r="M4" s="248">
        <f>IFERROR(SUMIFS(OtherP,Participants2,A4,InsitutionP,A1),"")</f>
        <v>0</v>
      </c>
      <c r="O4" s="243" t="s">
        <v>798</v>
      </c>
      <c r="P4" s="335" t="str">
        <f t="shared" ref="P4:P13" si="1">IFERROR(IF(SUM(Q4:Y4)=0, "", SUM(Q4:Y4)),"")</f>
        <v/>
      </c>
      <c r="Q4" s="244">
        <f>IFERROR(SUMIFS(FirstYearP,Participants2,O4,InsitutionP,O1),"")</f>
        <v>0</v>
      </c>
      <c r="R4" s="244">
        <f>IFERROR(SUMIFS(SecondYearP,Participants2,O4,InsitutionP,O1),"")</f>
        <v>0</v>
      </c>
      <c r="S4" s="244">
        <f>IFERROR(SUMIFS(ThirdYearP,Participants2,O4,InsitutionP,O1),"")</f>
        <v>0</v>
      </c>
      <c r="T4" s="244">
        <f>IFERROR(SUMIFS(FourthYearP,Participants2,O4,InsitutionP,O1),"")</f>
        <v>0</v>
      </c>
      <c r="U4" s="244">
        <f>IFERROR(SUMIFS(FifthYearP,Participants2,O4,InsitutionP,O1),"")</f>
        <v>0</v>
      </c>
      <c r="V4" s="244">
        <f>IFERROR(SUMIFS(SixthYearP,Participants2,O4,InsitutionP,O1),"")</f>
        <v>0</v>
      </c>
      <c r="W4" s="244">
        <f>IFERROR(SUMIFS(SeventhYearP,Participants2,O4,InsitutionP,O1),"")</f>
        <v>0</v>
      </c>
      <c r="X4" s="367">
        <f>IFERROR(SUMIFS(EighthYearP,Participants2,O4,InsitutionP,O1),"")</f>
        <v>0</v>
      </c>
      <c r="Y4" s="367">
        <f>IFERROR(SUMIFS(NinthYearP,Participants2,O4,InsitutionP,O1),"")</f>
        <v>0</v>
      </c>
      <c r="Z4" s="247">
        <f>IFERROR(SUMIFS(CoFinancingP,Participants2,O4,InsitutionP,O1),"")</f>
        <v>0</v>
      </c>
      <c r="AA4" s="248">
        <f>IFERROR(SUMIFS(OtherP,Participants2,O4,InsitutionP,O1),"")</f>
        <v>0</v>
      </c>
    </row>
    <row r="5" spans="1:27" x14ac:dyDescent="0.25">
      <c r="A5" s="176" t="s">
        <v>784</v>
      </c>
      <c r="B5" s="335" t="str">
        <f t="shared" si="0"/>
        <v/>
      </c>
      <c r="C5" s="244">
        <f>IFERROR(SUMIFS(FirstYearP,Participants2,A5,InsitutionP,A1),"")</f>
        <v>0</v>
      </c>
      <c r="D5" s="244">
        <f>IFERROR(SUMIFS(SecondYearP,Participants2,A5,InsitutionP,A1),"")</f>
        <v>0</v>
      </c>
      <c r="E5" s="244">
        <f>IFERROR(SUMIFS(ThirdYearP,Participants2,A5,InsitutionP,A1),"")</f>
        <v>0</v>
      </c>
      <c r="F5" s="244">
        <f>IFERROR(SUMIFS(FourthYearP,Participants2,A5,InsitutionP,A1),"")</f>
        <v>0</v>
      </c>
      <c r="G5" s="244">
        <f>IFERROR(SUMIFS(FifthYearP,Participants2,A5,InsitutionP,A1),"")</f>
        <v>0</v>
      </c>
      <c r="H5" s="244">
        <f>IFERROR(SUMIFS(SixthYearP,Participants2,A5,InsitutionP,A1),"")</f>
        <v>0</v>
      </c>
      <c r="I5" s="244">
        <f>IFERROR(SUMIFS(SeventhYearP,Participants2,A5,InsitutionP,A1),"")</f>
        <v>0</v>
      </c>
      <c r="J5" s="367">
        <f>IFERROR(SUMIFS(EighthYearP,Participants2,A5,InsitutionP,A1),"")</f>
        <v>0</v>
      </c>
      <c r="K5" s="367">
        <f>IFERROR(SUMIFS(NinthYearP,Participants2,A5,InsitutionP,A1),"")</f>
        <v>0</v>
      </c>
      <c r="L5" s="247">
        <f>IFERROR(SUMIFS(CoFinancingP,Participants2,A5,InsitutionP,A1),"")</f>
        <v>0</v>
      </c>
      <c r="M5" s="248">
        <f>IFERROR(SUMIFS(OtherP,Participants2,A5,InsitutionP,A1),"")</f>
        <v>0</v>
      </c>
      <c r="O5" s="176" t="s">
        <v>784</v>
      </c>
      <c r="P5" s="335" t="str">
        <f t="shared" si="1"/>
        <v/>
      </c>
      <c r="Q5" s="244">
        <f>IFERROR(SUMIFS(FirstYearP,Participants2,O5,InsitutionP,O1),"")</f>
        <v>0</v>
      </c>
      <c r="R5" s="244">
        <f>IFERROR(SUMIFS(SecondYearP,Participants2,O5,InsitutionP,O1),"")</f>
        <v>0</v>
      </c>
      <c r="S5" s="244">
        <f>IFERROR(SUMIFS(ThirdYearP,Participants2,O5,InsitutionP,O1),"")</f>
        <v>0</v>
      </c>
      <c r="T5" s="244">
        <f>IFERROR(SUMIFS(FourthYearP,Participants2,O5,InsitutionP,O1),"")</f>
        <v>0</v>
      </c>
      <c r="U5" s="244">
        <f>IFERROR(SUMIFS(FifthYearP,Participants2,O5,InsitutionP,O1),"")</f>
        <v>0</v>
      </c>
      <c r="V5" s="244">
        <f>IFERROR(SUMIFS(SixthYearP,Participants2,O5,InsitutionP,O1),"")</f>
        <v>0</v>
      </c>
      <c r="W5" s="244">
        <f>IFERROR(SUMIFS(SeventhYearP,Participants2,O5,InsitutionP,O1),"")</f>
        <v>0</v>
      </c>
      <c r="X5" s="367">
        <f>IFERROR(SUMIFS(EighthYearP,Participants2,O5,InsitutionP,O1),"")</f>
        <v>0</v>
      </c>
      <c r="Y5" s="367">
        <f>IFERROR(SUMIFS(NinthYearP,Participants2,O5,InsitutionP,O1),"")</f>
        <v>0</v>
      </c>
      <c r="Z5" s="247">
        <f>IFERROR(SUMIFS(CoFinancingP,Participants2,O5,InsitutionP,O1),"")</f>
        <v>0</v>
      </c>
      <c r="AA5" s="248">
        <f>IFERROR(SUMIFS(OtherP,Participants2,O5,InsitutionP,O1),"")</f>
        <v>0</v>
      </c>
    </row>
    <row r="6" spans="1:27" ht="15.75" thickBot="1" x14ac:dyDescent="0.3">
      <c r="A6" s="176" t="s">
        <v>799</v>
      </c>
      <c r="B6" s="336" t="str">
        <f t="shared" si="0"/>
        <v/>
      </c>
      <c r="C6" s="244">
        <f>IFERROR(SUMIFS(FirstYearP,Participants2,A6,InsitutionP,A1),"")</f>
        <v>0</v>
      </c>
      <c r="D6" s="244">
        <f>IFERROR(SUMIFS(SecondYearP,Participants2,A6,InsitutionP,A1),"")</f>
        <v>0</v>
      </c>
      <c r="E6" s="244">
        <f>IFERROR(SUMIFS(ThirdYearP,Participants2,A6,InsitutionP,A1),"")</f>
        <v>0</v>
      </c>
      <c r="F6" s="244">
        <f>IFERROR(SUMIFS(FourthYearP,Participants2,A6,InsitutionP,A1),"")</f>
        <v>0</v>
      </c>
      <c r="G6" s="244">
        <f>IFERROR(SUMIFS(FifthYearP,Participants2,A6,InsitutionP,A1),"")</f>
        <v>0</v>
      </c>
      <c r="H6" s="244">
        <f>IFERROR(SUMIFS(SixthYearP,Participants2,A6,InsitutionP,A1),"")</f>
        <v>0</v>
      </c>
      <c r="I6" s="244">
        <f>IFERROR(SUMIFS(SeventhYearP,Participants2,A6,InsitutionP,A1),"")</f>
        <v>0</v>
      </c>
      <c r="J6" s="367">
        <f>IFERROR(SUMIFS(EighthYearP,Participants2,A6,InsitutionP,A1),"")</f>
        <v>0</v>
      </c>
      <c r="K6" s="367">
        <f>IFERROR(SUMIFS(NinthYearP,Participants2,A6,InsitutionP,A1),"")</f>
        <v>0</v>
      </c>
      <c r="L6" s="247">
        <f>IFERROR(SUMIFS(CoFinancingP,Participants2,A6,InsitutionP,A1),"")</f>
        <v>0</v>
      </c>
      <c r="M6" s="248">
        <f>IFERROR(SUMIFS(OtherP,Participants2,A6,InsitutionP,A1),"")</f>
        <v>0</v>
      </c>
      <c r="O6" s="176" t="s">
        <v>799</v>
      </c>
      <c r="P6" s="336" t="str">
        <f t="shared" si="1"/>
        <v/>
      </c>
      <c r="Q6" s="244">
        <f>IFERROR(SUMIFS(FirstYearP,Participants2,O6,InsitutionP,O1),"")</f>
        <v>0</v>
      </c>
      <c r="R6" s="244">
        <f>IFERROR(SUMIFS(SecondYearP,Participants2,O6,InsitutionP,O1),"")</f>
        <v>0</v>
      </c>
      <c r="S6" s="244">
        <f>IFERROR(SUMIFS(ThirdYearP,Participants2,O6,InsitutionP,O1),"")</f>
        <v>0</v>
      </c>
      <c r="T6" s="244">
        <f>IFERROR(SUMIFS(FourthYearP,Participants2,O6,InsitutionP,O1),"")</f>
        <v>0</v>
      </c>
      <c r="U6" s="244">
        <f>IFERROR(SUMIFS(FifthYearP,Participants2,O6,InsitutionP,O1),"")</f>
        <v>0</v>
      </c>
      <c r="V6" s="244">
        <f>IFERROR(SUMIFS(SixthYearP,Participants2,O6,InsitutionP,O1),"")</f>
        <v>0</v>
      </c>
      <c r="W6" s="244">
        <f>IFERROR(SUMIFS(SeventhYearP,Participants2,O6,InsitutionP,O1),"")</f>
        <v>0</v>
      </c>
      <c r="X6" s="367">
        <f>IFERROR(SUMIFS(EighthYearP,Participants2,O6,InsitutionP,O1),"")</f>
        <v>0</v>
      </c>
      <c r="Y6" s="367">
        <f>IFERROR(SUMIFS(NinthYearP,Participants2,O6,InsitutionP,O1),"")</f>
        <v>0</v>
      </c>
      <c r="Z6" s="247">
        <f>IFERROR(SUMIFS(CoFinancingP,Participants2,O6,InsitutionP,O1),"")</f>
        <v>0</v>
      </c>
      <c r="AA6" s="248">
        <f>IFERROR(SUMIFS(OtherP,Participants2,O6,InsitutionP,O1),"")</f>
        <v>0</v>
      </c>
    </row>
    <row r="7" spans="1:27" x14ac:dyDescent="0.25">
      <c r="A7" s="177" t="s">
        <v>786</v>
      </c>
      <c r="B7" s="334" t="str">
        <f t="shared" si="0"/>
        <v/>
      </c>
      <c r="C7" s="212" t="str">
        <f>IFERROR(IF(SUM(C3:C6)=0, "", SUM(C3:C6)),"")</f>
        <v/>
      </c>
      <c r="D7" s="212" t="str">
        <f t="shared" ref="D7:I7" si="2">IFERROR(IF(SUM(D3:D6)=0, "", SUM(D3:D6)),"")</f>
        <v/>
      </c>
      <c r="E7" s="212" t="str">
        <f t="shared" si="2"/>
        <v/>
      </c>
      <c r="F7" s="212" t="str">
        <f t="shared" si="2"/>
        <v/>
      </c>
      <c r="G7" s="212" t="str">
        <f t="shared" si="2"/>
        <v/>
      </c>
      <c r="H7" s="212" t="str">
        <f t="shared" si="2"/>
        <v/>
      </c>
      <c r="I7" s="212" t="str">
        <f t="shared" si="2"/>
        <v/>
      </c>
      <c r="J7" s="365" t="str">
        <f t="shared" ref="J7" si="3">IFERROR(IF(SUM(J3:J6)=0, "", SUM(J3:J6)),"")</f>
        <v/>
      </c>
      <c r="K7" s="365" t="str">
        <f>IFERROR(IF(SUM(K3:K6)=0, "", SUM(K3:K6)),"")</f>
        <v/>
      </c>
      <c r="L7" s="223" t="str">
        <f>IFERROR(IF(SUM(L3:L6)=0, "", SUM(L3:L6)),"")</f>
        <v/>
      </c>
      <c r="M7" s="224" t="str">
        <f>IFERROR(IF(SUM(M3:M6)=0, "", SUM(M3:M6)),"")</f>
        <v/>
      </c>
      <c r="O7" s="177" t="s">
        <v>786</v>
      </c>
      <c r="P7" s="334" t="str">
        <f t="shared" si="1"/>
        <v/>
      </c>
      <c r="Q7" s="212" t="str">
        <f>IFERROR(IF(SUM(Q3:Q6)=0, "", SUM(Q3:Q6)),"")</f>
        <v/>
      </c>
      <c r="R7" s="212" t="str">
        <f t="shared" ref="R7" si="4">IFERROR(IF(SUM(R3:R6)=0, "", SUM(R3:R6)),"")</f>
        <v/>
      </c>
      <c r="S7" s="212" t="str">
        <f t="shared" ref="S7" si="5">IFERROR(IF(SUM(S3:S6)=0, "", SUM(S3:S6)),"")</f>
        <v/>
      </c>
      <c r="T7" s="212" t="str">
        <f t="shared" ref="T7" si="6">IFERROR(IF(SUM(T3:T6)=0, "", SUM(T3:T6)),"")</f>
        <v/>
      </c>
      <c r="U7" s="212" t="str">
        <f t="shared" ref="U7" si="7">IFERROR(IF(SUM(U3:U6)=0, "", SUM(U3:U6)),"")</f>
        <v/>
      </c>
      <c r="V7" s="212" t="str">
        <f t="shared" ref="V7" si="8">IFERROR(IF(SUM(V3:V6)=0, "", SUM(V3:V6)),"")</f>
        <v/>
      </c>
      <c r="W7" s="212" t="str">
        <f t="shared" ref="W7:Y7" si="9">IFERROR(IF(SUM(W3:W6)=0, "", SUM(W3:W6)),"")</f>
        <v/>
      </c>
      <c r="X7" s="365" t="str">
        <f t="shared" si="9"/>
        <v/>
      </c>
      <c r="Y7" s="365" t="str">
        <f t="shared" si="9"/>
        <v/>
      </c>
      <c r="Z7" s="223" t="str">
        <f>IFERROR(IF(SUM(Z3:Z6)=0, "", SUM(Z3:Z6)),"")</f>
        <v/>
      </c>
      <c r="AA7" s="224" t="str">
        <f>IFERROR(IF(SUM(AA3:AA6)=0, "", SUM(AA3:AA6)),"")</f>
        <v/>
      </c>
    </row>
    <row r="8" spans="1:27" ht="25.5" x14ac:dyDescent="0.25">
      <c r="A8" s="178" t="s">
        <v>850</v>
      </c>
      <c r="B8" s="337" t="str">
        <f t="shared" si="0"/>
        <v/>
      </c>
      <c r="C8" s="218">
        <f>IFERROR(SUMIFS(FirstYearP,Participants2,A8,InsitutionP,A1),"")</f>
        <v>0</v>
      </c>
      <c r="D8" s="218">
        <f>IFERROR(SUMIFS(SecondYearP,Participants2,A8,InsitutionP,A1),"")</f>
        <v>0</v>
      </c>
      <c r="E8" s="218">
        <f>IFERROR(SUMIFS(ThirdYearP,Participants2,A8,InsitutionP,A1),"")</f>
        <v>0</v>
      </c>
      <c r="F8" s="218">
        <f>IFERROR(SUMIFS(FourthYearP,Participants2,A8,InsitutionP,A1),"")</f>
        <v>0</v>
      </c>
      <c r="G8" s="219">
        <f>IFERROR(SUMIFS(FifthYearP,Participants2,A8,InsitutionP,A1),"")</f>
        <v>0</v>
      </c>
      <c r="H8" s="219">
        <f>IFERROR(SUMIFS(SixthYearP,Participants2,A8,InsitutionP,A1),"")</f>
        <v>0</v>
      </c>
      <c r="I8" s="220">
        <f>IFERROR(SUMIFS(SeventhYearP,Participants2,A8,InsitutionP,A1),"")</f>
        <v>0</v>
      </c>
      <c r="J8" s="219">
        <f>IFERROR(SUMIFS(EighthYearP,Participants2,A8,InsitutionP,A1),"")</f>
        <v>0</v>
      </c>
      <c r="K8" s="219">
        <f>IFERROR(SUMIFS(NinthYearP,Participants2,A8,InsitutionP,A1),"")</f>
        <v>0</v>
      </c>
      <c r="L8" s="221">
        <f>IFERROR(SUMIFS(CoFinancingP,Participants2,A8,InsitutionP,A1),"")</f>
        <v>0</v>
      </c>
      <c r="M8" s="222">
        <f>IFERROR(SUMIFS(OtherP,Participants2,A8,InsitutionP,A1),"")</f>
        <v>0</v>
      </c>
      <c r="O8" s="178" t="s">
        <v>850</v>
      </c>
      <c r="P8" s="337" t="str">
        <f t="shared" si="1"/>
        <v/>
      </c>
      <c r="Q8" s="218">
        <f>IFERROR(SUMIFS(FirstYearP,Participants2,O8,InsitutionP,O1),"")</f>
        <v>0</v>
      </c>
      <c r="R8" s="218">
        <f>IFERROR(SUMIFS(SecondYearP,Participants2,O8,InsitutionP,O1),"")</f>
        <v>0</v>
      </c>
      <c r="S8" s="218">
        <f>IFERROR(SUMIFS(ThirdYearP,Participants2,O8,InsitutionP,O1),"")</f>
        <v>0</v>
      </c>
      <c r="T8" s="218">
        <f>IFERROR(SUMIFS(FourthYearP,Participants2,O8,InsitutionP,O1),"")</f>
        <v>0</v>
      </c>
      <c r="U8" s="219">
        <f>IFERROR(SUMIFS(FifthYearP,Participants2,O8,InsitutionP,O1),"")</f>
        <v>0</v>
      </c>
      <c r="V8" s="219">
        <f>IFERROR(SUMIFS(SixthYearP,Participants2,O8,InsitutionP,O1),"")</f>
        <v>0</v>
      </c>
      <c r="W8" s="220">
        <f>IFERROR(SUMIFS(SeventhYearP,Participants2,O8,InsitutionP,O1),"")</f>
        <v>0</v>
      </c>
      <c r="X8" s="219">
        <f>IFERROR(SUMIFS(EighthYearP,Participants2,O8,InsitutionP,O1),"")</f>
        <v>0</v>
      </c>
      <c r="Y8" s="219">
        <f>IFERROR(SUMIFS(NinthYearP,Participants2,O8,InsitutionP,O1),"")</f>
        <v>0</v>
      </c>
      <c r="Z8" s="221">
        <f>IFERROR(SUMIFS(CoFinancingP,Participants2,O8,InsitutionP,O1),"")</f>
        <v>0</v>
      </c>
      <c r="AA8" s="222">
        <f>IFERROR(SUMIFS(OtherP,Participants2,O8,InsitutionP,O1),"")</f>
        <v>0</v>
      </c>
    </row>
    <row r="9" spans="1:27" x14ac:dyDescent="0.25">
      <c r="A9" s="178" t="s">
        <v>29</v>
      </c>
      <c r="B9" s="217" t="str">
        <f t="shared" si="0"/>
        <v/>
      </c>
      <c r="C9" s="218">
        <f>IFERROR(SUMIFS(FirstYearE,Expenses,A9,InsitutionE,A1),"")</f>
        <v>0</v>
      </c>
      <c r="D9" s="218">
        <f>IFERROR(SUMIFS(SecondYearE,Expenses,A9,InsitutionE,A1),"")</f>
        <v>0</v>
      </c>
      <c r="E9" s="218">
        <f>IFERROR(SUMIFS(ThirdYearE,Expenses,A9,InsitutionE,A1),"")</f>
        <v>0</v>
      </c>
      <c r="F9" s="218">
        <f>IFERROR(SUMIFS(FourthYearE,Expenses,A9,InsitutionE,A1),"")</f>
        <v>0</v>
      </c>
      <c r="G9" s="219">
        <f>IFERROR(SUMIFS(FifthYearE,Expenses,A9,InsitutionE,A1),"")</f>
        <v>0</v>
      </c>
      <c r="H9" s="219">
        <f>IFERROR(SUMIFS(SixthYearE,Expenses,A9,InsitutionE,A1),"")</f>
        <v>0</v>
      </c>
      <c r="I9" s="220">
        <f>IFERROR(SUMIFS(SeventhYearE,Expenses,A9,InsitutionE,A1),"")</f>
        <v>0</v>
      </c>
      <c r="J9" s="219">
        <f>IFERROR(SUMIFS(EightYearE,Expenses,A9,InsitutionE,A1),"")</f>
        <v>0</v>
      </c>
      <c r="K9" s="219">
        <f>IFERROR(SUMIFS(NinthYearE,Expenses,A9,InsitutionE,A1),"")</f>
        <v>0</v>
      </c>
      <c r="L9" s="221">
        <f>IFERROR(SUMIFS(CoFinancingE,Expenses,A9,InsitutionE,A1),"")</f>
        <v>0</v>
      </c>
      <c r="M9" s="222">
        <f>IFERROR(SUMIFS(OtherE,Expenses,A9,InsitutionE,A1),"")</f>
        <v>0</v>
      </c>
      <c r="O9" s="178" t="s">
        <v>29</v>
      </c>
      <c r="P9" s="217" t="str">
        <f t="shared" si="1"/>
        <v/>
      </c>
      <c r="Q9" s="218">
        <f>IFERROR(SUMIFS(FirstYearE,Expenses,O9,InsitutionE,O1),"")</f>
        <v>0</v>
      </c>
      <c r="R9" s="218">
        <f>IFERROR(SUMIFS(SecondYearE,Expenses,O9,InsitutionE,O1),"")</f>
        <v>0</v>
      </c>
      <c r="S9" s="218">
        <f>IFERROR(SUMIFS(ThirdYearE,Expenses,O9,InsitutionE,O1),"")</f>
        <v>0</v>
      </c>
      <c r="T9" s="218">
        <f>IFERROR(SUMIFS(FourthYearE,Expenses,O9,InsitutionE,O1),"")</f>
        <v>0</v>
      </c>
      <c r="U9" s="219">
        <f>IFERROR(SUMIFS(FifthYearE,Expenses,O9,InsitutionE,O1),"")</f>
        <v>0</v>
      </c>
      <c r="V9" s="219">
        <f>IFERROR(SUMIFS(SixthYearE,Expenses,O9,InsitutionE,O1),"")</f>
        <v>0</v>
      </c>
      <c r="W9" s="220">
        <f>IFERROR(SUMIFS(SeventhYearE,Expenses,O9,InsitutionE,O1),"")</f>
        <v>0</v>
      </c>
      <c r="X9" s="219">
        <f>IFERROR(SUMIFS(EightYearE,Expenses,O9,InsitutionE,O1),"")</f>
        <v>0</v>
      </c>
      <c r="Y9" s="219">
        <f>IFERROR(SUMIFS(NinthYearE,Expenses,O9,InsitutionE,O1),"")</f>
        <v>0</v>
      </c>
      <c r="Z9" s="221">
        <f>IFERROR(SUMIFS(CoFinancingE,Expenses,O9,InsitutionE,O1),"")</f>
        <v>0</v>
      </c>
      <c r="AA9" s="222">
        <f>IFERROR(SUMIFS(OtherE,Expenses,O9,InsitutionE,O1),"")</f>
        <v>0</v>
      </c>
    </row>
    <row r="10" spans="1:27" ht="15.75" thickBot="1" x14ac:dyDescent="0.3">
      <c r="A10" s="178" t="s">
        <v>39</v>
      </c>
      <c r="B10" s="217" t="str">
        <f t="shared" si="0"/>
        <v/>
      </c>
      <c r="C10" s="218">
        <f>IFERROR(SUMIFS(FirstYearE,Expenses,A10,InsitutionE,A1),"")</f>
        <v>0</v>
      </c>
      <c r="D10" s="218">
        <f>IFERROR(SUMIFS(SecondYearE,Expenses,A10,InsitutionE,A1),"")</f>
        <v>0</v>
      </c>
      <c r="E10" s="218">
        <f>IFERROR(SUMIFS(ThirdYearE,Expenses,A10,InsitutionE,A1),"")</f>
        <v>0</v>
      </c>
      <c r="F10" s="218">
        <f>IFERROR(SUMIFS(FourthYearE,Expenses,A10,InsitutionE,A1),"")</f>
        <v>0</v>
      </c>
      <c r="G10" s="219">
        <f>IFERROR(SUMIFS(FifthYearE,Expenses,A10,InsitutionE,A1),"")</f>
        <v>0</v>
      </c>
      <c r="H10" s="219">
        <f>IFERROR(SUMIFS(SixthYearE,Expenses,A10,InsitutionE,A1),"")</f>
        <v>0</v>
      </c>
      <c r="I10" s="220">
        <f>IFERROR(SUMIFS(SeventhYearE,Expenses,A10,InsitutionE,A1),"")</f>
        <v>0</v>
      </c>
      <c r="J10" s="219">
        <f>IFERROR(SUMIFS(EightYearE,Expenses,A10,InsitutionE,A1),"")</f>
        <v>0</v>
      </c>
      <c r="K10" s="219">
        <f>IFERROR(SUMIFS(NinthYearE,Expenses,A10,InsitutionE,A1),"")</f>
        <v>0</v>
      </c>
      <c r="L10" s="221">
        <f>IFERROR(SUMIFS(CoFinancingE,Expenses,A10,InsitutionE,A1),"")</f>
        <v>0</v>
      </c>
      <c r="M10" s="222">
        <f>IFERROR(SUMIFS(OtherE,Expenses,A10,InsitutionE,A1),"")</f>
        <v>0</v>
      </c>
      <c r="O10" s="178" t="s">
        <v>39</v>
      </c>
      <c r="P10" s="217" t="str">
        <f t="shared" si="1"/>
        <v/>
      </c>
      <c r="Q10" s="218">
        <f>IFERROR(SUMIFS(FirstYearE,Expenses,O10,InsitutionE,O1),"")</f>
        <v>0</v>
      </c>
      <c r="R10" s="218">
        <f>IFERROR(SUMIFS(SecondYearE,Expenses,O10,InsitutionE,O1),"")</f>
        <v>0</v>
      </c>
      <c r="S10" s="218">
        <f>IFERROR(SUMIFS(ThirdYearE,Expenses,O10,InsitutionE,O1),"")</f>
        <v>0</v>
      </c>
      <c r="T10" s="218">
        <f>IFERROR(SUMIFS(FourthYearE,Expenses,O10,InsitutionE,O1),"")</f>
        <v>0</v>
      </c>
      <c r="U10" s="219">
        <f>IFERROR(SUMIFS(FifthYearE,Expenses,O10,InsitutionE,O1),"")</f>
        <v>0</v>
      </c>
      <c r="V10" s="219">
        <f>IFERROR(SUMIFS(SixthYearE,Expenses,O10,InsitutionE,O1),"")</f>
        <v>0</v>
      </c>
      <c r="W10" s="220">
        <f>IFERROR(SUMIFS(SeventhYearE,Expenses,O10,InsitutionE,O1),"")</f>
        <v>0</v>
      </c>
      <c r="X10" s="219">
        <f>IFERROR(SUMIFS(EightYearE,Expenses,O10,InsitutionE,O1),"")</f>
        <v>0</v>
      </c>
      <c r="Y10" s="219">
        <f>IFERROR(SUMIFS(NinthYearE,Expenses,O10,InsitutionE,O1),"")</f>
        <v>0</v>
      </c>
      <c r="Z10" s="221">
        <f>IFERROR(SUMIFS(CoFinancingE,Expenses,O10,InsitutionE,O1),"")</f>
        <v>0</v>
      </c>
      <c r="AA10" s="222">
        <f>IFERROR(SUMIFS(OtherE,Expenses,O10,InsitutionE,O1),"")</f>
        <v>0</v>
      </c>
    </row>
    <row r="11" spans="1:27" ht="15.75" thickBot="1" x14ac:dyDescent="0.3">
      <c r="A11" s="177" t="s">
        <v>817</v>
      </c>
      <c r="B11" s="338" t="str">
        <f t="shared" si="0"/>
        <v/>
      </c>
      <c r="C11" s="212" t="str">
        <f>IFERROR(IF(SUM(C7:C10)=0, "", ROUND(SUM(C7:C10),0)),"")</f>
        <v/>
      </c>
      <c r="D11" s="365" t="str">
        <f t="shared" ref="D11:H11" si="10">IFERROR(IF(SUM(D7:D10)=0, "", ROUND(SUM(D7:D10),0)),"")</f>
        <v/>
      </c>
      <c r="E11" s="365" t="str">
        <f t="shared" si="10"/>
        <v/>
      </c>
      <c r="F11" s="365" t="str">
        <f t="shared" si="10"/>
        <v/>
      </c>
      <c r="G11" s="365" t="str">
        <f t="shared" si="10"/>
        <v/>
      </c>
      <c r="H11" s="365" t="str">
        <f t="shared" si="10"/>
        <v/>
      </c>
      <c r="I11" s="365" t="str">
        <f>IFERROR(IF(SUM(I7:I10)=0, "", ROUND(SUM(I7:I10),0)),"")</f>
        <v/>
      </c>
      <c r="J11" s="365" t="str">
        <f t="shared" ref="J11:K11" si="11">IFERROR(IF(SUM(J7:J10)=0, "", ROUND(SUM(J7:J10),0)),"")</f>
        <v/>
      </c>
      <c r="K11" s="365" t="str">
        <f t="shared" si="11"/>
        <v/>
      </c>
      <c r="L11" s="225" t="str">
        <f>IFERROR(IF(SUM(L7:L10)=0, "", ROUND(SUM(L7:L10),0)),"")</f>
        <v/>
      </c>
      <c r="M11" s="226" t="str">
        <f>IFERROR(IF(SUM(M7:M10)=0, "", ROUND(SUM(M7:M10),0)),"")</f>
        <v/>
      </c>
      <c r="O11" s="177" t="s">
        <v>817</v>
      </c>
      <c r="P11" s="338" t="str">
        <f t="shared" si="1"/>
        <v/>
      </c>
      <c r="Q11" s="212" t="str">
        <f>IFERROR(IF(SUM(Q7:Q10)=0, "", ROUND(SUM(Q7:Q10),0)),"")</f>
        <v/>
      </c>
      <c r="R11" s="365" t="str">
        <f t="shared" ref="R11:V11" si="12">IFERROR(IF(SUM(R7:R10)=0, "", ROUND(SUM(R7:R10),0)),"")</f>
        <v/>
      </c>
      <c r="S11" s="365" t="str">
        <f t="shared" si="12"/>
        <v/>
      </c>
      <c r="T11" s="365" t="str">
        <f t="shared" si="12"/>
        <v/>
      </c>
      <c r="U11" s="365" t="str">
        <f t="shared" si="12"/>
        <v/>
      </c>
      <c r="V11" s="365" t="str">
        <f t="shared" si="12"/>
        <v/>
      </c>
      <c r="W11" s="365" t="str">
        <f>IFERROR(IF(SUM(W7:W10)=0, "", ROUND(SUM(W7:W10),0)),"")</f>
        <v/>
      </c>
      <c r="X11" s="365" t="str">
        <f t="shared" ref="X11:Y11" si="13">IFERROR(IF(SUM(X7:X10)=0, "", ROUND(SUM(X7:X10),0)),"")</f>
        <v/>
      </c>
      <c r="Y11" s="365" t="str">
        <f t="shared" si="13"/>
        <v/>
      </c>
      <c r="Z11" s="225" t="str">
        <f>IFERROR(IF(SUM(Z7:Z10)=0, "", ROUND(SUM(Z7:Z10),0)),"")</f>
        <v/>
      </c>
      <c r="AA11" s="226" t="str">
        <f>IFERROR(IF(SUM(AA7:AA10)=0, "", ROUND(SUM(AA7:AA10),0)),"")</f>
        <v/>
      </c>
    </row>
    <row r="12" spans="1:27" ht="15.75" thickBot="1" x14ac:dyDescent="0.3">
      <c r="A12" s="178" t="s">
        <v>13</v>
      </c>
      <c r="B12" s="339" t="str">
        <f t="shared" si="0"/>
        <v/>
      </c>
      <c r="C12" s="218" t="str">
        <f>IFERROR(IF(Budget!$C$14="", "",ROUND(Budget!$C$14*C11,0)),"")</f>
        <v/>
      </c>
      <c r="D12" s="218" t="str">
        <f>IFERROR(IF(Budget!$C$14="", "",ROUND(Budget!$C$14*D11,0)),"")</f>
        <v/>
      </c>
      <c r="E12" s="218" t="str">
        <f>IFERROR(IF(Budget!$C$14="", "",ROUND(Budget!$C$14*E11,0)),"")</f>
        <v/>
      </c>
      <c r="F12" s="218" t="str">
        <f>IFERROR(IF(Budget!$C$14="", "",ROUND(Budget!$C$14*F11,0)),"")</f>
        <v/>
      </c>
      <c r="G12" s="218" t="str">
        <f>IFERROR(IF(Budget!$C$14="", "",ROUND(Budget!$C$14*G11,0)),"")</f>
        <v/>
      </c>
      <c r="H12" s="218" t="str">
        <f>IFERROR(IF(Budget!$C$14="", "",ROUND(Budget!$C$14*H11,0)),"")</f>
        <v/>
      </c>
      <c r="I12" s="416" t="str">
        <f>IFERROR(IF(Budget!$C$14="", "",ROUND(Budget!$C$14*I11,0)),"")</f>
        <v/>
      </c>
      <c r="J12" s="220" t="str">
        <f>IFERROR(IF(Budget!$C$14="", "",ROUND(Budget!$C$14*J11,0)),"")</f>
        <v/>
      </c>
      <c r="K12" s="417" t="str">
        <f>IFERROR(IF(Budget!$C$14="", "",ROUND(Budget!$C$14*K11,0)),"")</f>
        <v/>
      </c>
      <c r="L12" s="227"/>
      <c r="M12" s="227"/>
      <c r="O12" s="178" t="s">
        <v>13</v>
      </c>
      <c r="P12" s="339" t="str">
        <f t="shared" si="1"/>
        <v/>
      </c>
      <c r="Q12" s="218" t="str">
        <f>IFERROR(IF(Budget!$E$14="", "",ROUND(Budget!$E$14*Q11,0)),"")</f>
        <v/>
      </c>
      <c r="R12" s="218" t="str">
        <f>IFERROR(IF(Budget!$E$14="", "",ROUND(Budget!$E$14*R11,0)),"")</f>
        <v/>
      </c>
      <c r="S12" s="218" t="str">
        <f>IFERROR(IF(Budget!$E$14="", "",ROUND(Budget!$E$14*S11,0)),"")</f>
        <v/>
      </c>
      <c r="T12" s="218" t="str">
        <f>IFERROR(IF(Budget!$E$14="", "",ROUND(Budget!$E$14*T11,0)),"")</f>
        <v/>
      </c>
      <c r="U12" s="218" t="str">
        <f>IFERROR(IF(Budget!$E$14="", "",ROUND(Budget!$E$14*U11,0)),"")</f>
        <v/>
      </c>
      <c r="V12" s="218" t="str">
        <f>IFERROR(IF(Budget!$E$14="", "",ROUND(Budget!$E$14*V11,0)),"")</f>
        <v/>
      </c>
      <c r="W12" s="416" t="str">
        <f>IFERROR(IF(Budget!$E$14="", "",ROUND(Budget!$E$14*W11,0)),"")</f>
        <v/>
      </c>
      <c r="X12" s="220" t="str">
        <f>IFERROR(IF(Budget!$E$14="", "",ROUND(Budget!$E$14*X11,0)),"")</f>
        <v/>
      </c>
      <c r="Y12" s="417" t="str">
        <f>IFERROR(IF(Budget!$E$14="", "",ROUND(Budget!$E$14*Y11,0)),"")</f>
        <v/>
      </c>
      <c r="Z12" s="227"/>
      <c r="AA12" s="227"/>
    </row>
    <row r="13" spans="1:27" ht="15.75" thickBot="1" x14ac:dyDescent="0.3">
      <c r="A13" s="179" t="s">
        <v>809</v>
      </c>
      <c r="B13" s="340" t="str">
        <f t="shared" si="0"/>
        <v/>
      </c>
      <c r="C13" s="228" t="str">
        <f>IFERROR(IF(SUM(C11:C12)=0, "", SUM(C11:C12)),"")</f>
        <v/>
      </c>
      <c r="D13" s="228" t="str">
        <f t="shared" ref="D13:I13" si="14">IFERROR(IF(SUM(D11:D12)=0, "", SUM(D11:D12)),"")</f>
        <v/>
      </c>
      <c r="E13" s="228" t="str">
        <f t="shared" si="14"/>
        <v/>
      </c>
      <c r="F13" s="228" t="str">
        <f t="shared" si="14"/>
        <v/>
      </c>
      <c r="G13" s="228" t="str">
        <f t="shared" si="14"/>
        <v/>
      </c>
      <c r="H13" s="228" t="str">
        <f t="shared" si="14"/>
        <v/>
      </c>
      <c r="I13" s="229" t="str">
        <f t="shared" si="14"/>
        <v/>
      </c>
      <c r="J13" s="379" t="str">
        <f t="shared" ref="J13:K13" si="15">IFERROR(IF(SUM(J11:J12)=0, "", SUM(J11:J12)),"")</f>
        <v/>
      </c>
      <c r="K13" s="418" t="str">
        <f t="shared" si="15"/>
        <v/>
      </c>
      <c r="L13" s="227"/>
      <c r="M13" s="227"/>
      <c r="O13" s="179" t="s">
        <v>809</v>
      </c>
      <c r="P13" s="340" t="str">
        <f t="shared" si="1"/>
        <v/>
      </c>
      <c r="Q13" s="228" t="str">
        <f>IFERROR(IF(SUM(Q11:Q12)=0, "", SUM(Q11:Q12)),"")</f>
        <v/>
      </c>
      <c r="R13" s="228" t="str">
        <f t="shared" ref="R13" si="16">IFERROR(IF(SUM(R11:R12)=0, "", SUM(R11:R12)),"")</f>
        <v/>
      </c>
      <c r="S13" s="228" t="str">
        <f t="shared" ref="S13" si="17">IFERROR(IF(SUM(S11:S12)=0, "", SUM(S11:S12)),"")</f>
        <v/>
      </c>
      <c r="T13" s="228" t="str">
        <f t="shared" ref="T13" si="18">IFERROR(IF(SUM(T11:T12)=0, "", SUM(T11:T12)),"")</f>
        <v/>
      </c>
      <c r="U13" s="228" t="str">
        <f t="shared" ref="U13" si="19">IFERROR(IF(SUM(U11:U12)=0, "", SUM(U11:U12)),"")</f>
        <v/>
      </c>
      <c r="V13" s="228" t="str">
        <f t="shared" ref="V13" si="20">IFERROR(IF(SUM(V11:V12)=0, "", SUM(V11:V12)),"")</f>
        <v/>
      </c>
      <c r="W13" s="229" t="str">
        <f t="shared" ref="W13:Y13" si="21">IFERROR(IF(SUM(W11:W12)=0, "", SUM(W11:W12)),"")</f>
        <v/>
      </c>
      <c r="X13" s="379" t="str">
        <f t="shared" si="21"/>
        <v/>
      </c>
      <c r="Y13" s="418" t="str">
        <f t="shared" si="21"/>
        <v/>
      </c>
      <c r="Z13" s="227"/>
      <c r="AA13" s="227"/>
    </row>
    <row r="14" spans="1:27" ht="15.75" thickBot="1" x14ac:dyDescent="0.3"/>
    <row r="15" spans="1:27" ht="19.5" thickBot="1" x14ac:dyDescent="0.35">
      <c r="A15" s="512" t="s">
        <v>11</v>
      </c>
      <c r="B15" s="513"/>
      <c r="C15" s="513"/>
      <c r="D15" s="513"/>
      <c r="E15" s="513"/>
      <c r="F15" s="513"/>
      <c r="G15" s="513"/>
      <c r="H15" s="513"/>
      <c r="I15" s="513"/>
      <c r="J15" s="513"/>
      <c r="K15" s="513"/>
      <c r="L15" s="513"/>
      <c r="M15" s="514"/>
      <c r="O15" s="512" t="s">
        <v>631</v>
      </c>
      <c r="P15" s="513"/>
      <c r="Q15" s="513"/>
      <c r="R15" s="513"/>
      <c r="S15" s="513"/>
      <c r="T15" s="513"/>
      <c r="U15" s="513"/>
      <c r="V15" s="513"/>
      <c r="W15" s="513"/>
      <c r="X15" s="513"/>
      <c r="Y15" s="513"/>
      <c r="Z15" s="513"/>
      <c r="AA15" s="514"/>
    </row>
    <row r="16" spans="1:27" ht="26.25" thickBot="1" x14ac:dyDescent="0.3">
      <c r="A16" s="130" t="s">
        <v>825</v>
      </c>
      <c r="B16" s="388" t="s">
        <v>688</v>
      </c>
      <c r="C16" s="390">
        <f>FirstYear</f>
        <v>2021</v>
      </c>
      <c r="D16" s="390">
        <f>FirstYear+1</f>
        <v>2022</v>
      </c>
      <c r="E16" s="390">
        <f>FirstYear+2</f>
        <v>2023</v>
      </c>
      <c r="F16" s="390">
        <f>FirstYear+3</f>
        <v>2024</v>
      </c>
      <c r="G16" s="390">
        <f>FirstYear+4</f>
        <v>2025</v>
      </c>
      <c r="H16" s="390">
        <f>FirstYear+5</f>
        <v>2026</v>
      </c>
      <c r="I16" s="390">
        <f>FirstYear+6</f>
        <v>2027</v>
      </c>
      <c r="J16" s="390">
        <f>FirstYear+7</f>
        <v>2028</v>
      </c>
      <c r="K16" s="390">
        <f>FirstYear+8</f>
        <v>2029</v>
      </c>
      <c r="L16" s="391" t="s">
        <v>15</v>
      </c>
      <c r="M16" s="392" t="s">
        <v>689</v>
      </c>
      <c r="O16" s="130" t="s">
        <v>825</v>
      </c>
      <c r="P16" s="388" t="s">
        <v>688</v>
      </c>
      <c r="Q16" s="390">
        <f>FirstYear</f>
        <v>2021</v>
      </c>
      <c r="R16" s="390">
        <f>FirstYear+1</f>
        <v>2022</v>
      </c>
      <c r="S16" s="390">
        <f>FirstYear+2</f>
        <v>2023</v>
      </c>
      <c r="T16" s="390">
        <f>FirstYear+3</f>
        <v>2024</v>
      </c>
      <c r="U16" s="390">
        <f>FirstYear+4</f>
        <v>2025</v>
      </c>
      <c r="V16" s="390">
        <f>FirstYear+5</f>
        <v>2026</v>
      </c>
      <c r="W16" s="390">
        <f>FirstYear+6</f>
        <v>2027</v>
      </c>
      <c r="X16" s="390">
        <f>FirstYear+7</f>
        <v>2028</v>
      </c>
      <c r="Y16" s="390">
        <f>FirstYear+8</f>
        <v>2029</v>
      </c>
      <c r="Z16" s="391" t="s">
        <v>15</v>
      </c>
      <c r="AA16" s="392" t="s">
        <v>689</v>
      </c>
    </row>
    <row r="17" spans="1:27" x14ac:dyDescent="0.25">
      <c r="A17" s="175" t="s">
        <v>783</v>
      </c>
      <c r="B17" s="334"/>
      <c r="C17" s="212"/>
      <c r="D17" s="212"/>
      <c r="E17" s="212"/>
      <c r="F17" s="212"/>
      <c r="G17" s="213"/>
      <c r="H17" s="213"/>
      <c r="I17" s="214"/>
      <c r="J17" s="213"/>
      <c r="K17" s="213"/>
      <c r="L17" s="215"/>
      <c r="M17" s="216"/>
      <c r="O17" s="175" t="s">
        <v>783</v>
      </c>
      <c r="P17" s="334"/>
      <c r="Q17" s="212"/>
      <c r="R17" s="212"/>
      <c r="S17" s="212"/>
      <c r="T17" s="212"/>
      <c r="U17" s="213"/>
      <c r="V17" s="213"/>
      <c r="W17" s="214"/>
      <c r="X17" s="213"/>
      <c r="Y17" s="213"/>
      <c r="Z17" s="215"/>
      <c r="AA17" s="216"/>
    </row>
    <row r="18" spans="1:27" x14ac:dyDescent="0.25">
      <c r="A18" s="243" t="s">
        <v>798</v>
      </c>
      <c r="B18" s="335" t="str">
        <f t="shared" ref="B18:B27" si="22">IFERROR(IF(SUM(C18:K18)=0, "", SUM(C18:K18)),"")</f>
        <v/>
      </c>
      <c r="C18" s="244">
        <f>IFERROR(SUMIFS(FirstYearP,Participants2,A18,InsitutionP,A15),"")</f>
        <v>0</v>
      </c>
      <c r="D18" s="244">
        <f>IFERROR(SUMIFS(SecondYearP,Participants2,A18,InsitutionP,A15),"")</f>
        <v>0</v>
      </c>
      <c r="E18" s="244">
        <f>IFERROR(SUMIFS(ThirdYearP,Participants2,A18,InsitutionP,A15),"")</f>
        <v>0</v>
      </c>
      <c r="F18" s="244">
        <f>IFERROR(SUMIFS(FourthYearP,Participants2,A18,InsitutionP,A15),"")</f>
        <v>0</v>
      </c>
      <c r="G18" s="244">
        <f>IFERROR(SUMIFS(FifthYearP,Participants2,A18,InsitutionP,A15),"")</f>
        <v>0</v>
      </c>
      <c r="H18" s="244">
        <f>IFERROR(SUMIFS(SixthYearP,Participants2,A18,InsitutionP,A15),"")</f>
        <v>0</v>
      </c>
      <c r="I18" s="244">
        <f>IFERROR(SUMIFS(SeventhYearP,Participants2,A18,InsitutionP,A15),"")</f>
        <v>0</v>
      </c>
      <c r="J18" s="367">
        <f>IFERROR(SUMIFS(EighthYearP,Participants2,A18,InsitutionP,A15),"")</f>
        <v>0</v>
      </c>
      <c r="K18" s="367">
        <f>IFERROR(SUMIFS(NinthYearP,Participants2,A18,InsitutionP,A15),"")</f>
        <v>0</v>
      </c>
      <c r="L18" s="247">
        <f>IFERROR(SUMIFS(CoFinancingP,Participants2,A18,InsitutionP,A15),"")</f>
        <v>0</v>
      </c>
      <c r="M18" s="248">
        <f>IFERROR(SUMIFS(OtherP,Participants2,A18,InsitutionP,A15),"")</f>
        <v>0</v>
      </c>
      <c r="O18" s="243" t="s">
        <v>798</v>
      </c>
      <c r="P18" s="335" t="str">
        <f t="shared" ref="P18:P27" si="23">IFERROR(IF(SUM(Q18:Y18)=0, "", SUM(Q18:Y18)),"")</f>
        <v/>
      </c>
      <c r="Q18" s="244">
        <f>IFERROR(SUMIFS(FirstYearP,Participants2,O18,InsitutionP,O15),"")</f>
        <v>0</v>
      </c>
      <c r="R18" s="244">
        <f>IFERROR(SUMIFS(SecondYearP,Participants2,O18,InsitutionP,O15),"")</f>
        <v>0</v>
      </c>
      <c r="S18" s="244">
        <f>IFERROR(SUMIFS(ThirdYearP,Participants2,O18,InsitutionP,O15),"")</f>
        <v>0</v>
      </c>
      <c r="T18" s="244">
        <f>IFERROR(SUMIFS(FourthYearP,Participants2,O18,InsitutionP,O15),"")</f>
        <v>0</v>
      </c>
      <c r="U18" s="244">
        <f>IFERROR(SUMIFS(FifthYearP,Participants2,O18,InsitutionP,O15),"")</f>
        <v>0</v>
      </c>
      <c r="V18" s="244">
        <f>IFERROR(SUMIFS(SixthYearP,Participants2,O18,InsitutionP,O15),"")</f>
        <v>0</v>
      </c>
      <c r="W18" s="244">
        <f>IFERROR(SUMIFS(SeventhYearP,Participants2,O18,InsitutionP,O15),"")</f>
        <v>0</v>
      </c>
      <c r="X18" s="367">
        <f>IFERROR(SUMIFS(EighthYearP,Participants2,O18,InsitutionP,O15),"")</f>
        <v>0</v>
      </c>
      <c r="Y18" s="367">
        <f>IFERROR(SUMIFS(NinthYearP,Participants2,O18,InsitutionP,O15),"")</f>
        <v>0</v>
      </c>
      <c r="Z18" s="247">
        <f>IFERROR(SUMIFS(CoFinancingP,Participants2,O18,InsitutionP,O15),"")</f>
        <v>0</v>
      </c>
      <c r="AA18" s="248">
        <f>IFERROR(SUMIFS(OtherP,Participants2,O18,InsitutionP,O15),"")</f>
        <v>0</v>
      </c>
    </row>
    <row r="19" spans="1:27" x14ac:dyDescent="0.25">
      <c r="A19" s="176" t="s">
        <v>784</v>
      </c>
      <c r="B19" s="335" t="str">
        <f t="shared" si="22"/>
        <v/>
      </c>
      <c r="C19" s="244">
        <f>IFERROR(SUMIFS(FirstYearP,Participants2,A19,InsitutionP,A15),"")</f>
        <v>0</v>
      </c>
      <c r="D19" s="244">
        <f>IFERROR(SUMIFS(SecondYearP,Participants2,A19,InsitutionP,A15),"")</f>
        <v>0</v>
      </c>
      <c r="E19" s="244">
        <f>IFERROR(SUMIFS(ThirdYearP,Participants2,A19,InsitutionP,A15),"")</f>
        <v>0</v>
      </c>
      <c r="F19" s="244">
        <f>IFERROR(SUMIFS(FourthYearP,Participants2,A19,InsitutionP,A15),"")</f>
        <v>0</v>
      </c>
      <c r="G19" s="244">
        <f>IFERROR(SUMIFS(FifthYearP,Participants2,A19,InsitutionP,A15),"")</f>
        <v>0</v>
      </c>
      <c r="H19" s="244">
        <f>IFERROR(SUMIFS(SixthYearP,Participants2,A19,InsitutionP,A15),"")</f>
        <v>0</v>
      </c>
      <c r="I19" s="244">
        <f>IFERROR(SUMIFS(SeventhYearP,Participants2,A19,InsitutionP,A15),"")</f>
        <v>0</v>
      </c>
      <c r="J19" s="367">
        <f>IFERROR(SUMIFS(EighthYearP,Participants2,A19,InsitutionP,A15),"")</f>
        <v>0</v>
      </c>
      <c r="K19" s="367">
        <f>IFERROR(SUMIFS(NinthYearP,Participants2,A19,InsitutionP,A15),"")</f>
        <v>0</v>
      </c>
      <c r="L19" s="247">
        <f>IFERROR(SUMIFS(CoFinancingP,Participants2,A19,InsitutionP,A15),"")</f>
        <v>0</v>
      </c>
      <c r="M19" s="248">
        <f>IFERROR(SUMIFS(OtherP,Participants2,A19,InsitutionP,A15),"")</f>
        <v>0</v>
      </c>
      <c r="O19" s="176" t="s">
        <v>784</v>
      </c>
      <c r="P19" s="335" t="str">
        <f t="shared" si="23"/>
        <v/>
      </c>
      <c r="Q19" s="244">
        <f>IFERROR(SUMIFS(FirstYearP,Participants2,O19,InsitutionP,O15),"")</f>
        <v>0</v>
      </c>
      <c r="R19" s="244">
        <f>IFERROR(SUMIFS(SecondYearP,Participants2,O19,InsitutionP,O15),"")</f>
        <v>0</v>
      </c>
      <c r="S19" s="244">
        <f>IFERROR(SUMIFS(ThirdYearP,Participants2,O19,InsitutionP,O15),"")</f>
        <v>0</v>
      </c>
      <c r="T19" s="244">
        <f>IFERROR(SUMIFS(FourthYearP,Participants2,O19,InsitutionP,O15),"")</f>
        <v>0</v>
      </c>
      <c r="U19" s="244">
        <f>IFERROR(SUMIFS(FifthYearP,Participants2,O19,InsitutionP,O15),"")</f>
        <v>0</v>
      </c>
      <c r="V19" s="244">
        <f>IFERROR(SUMIFS(SixthYearP,Participants2,O19,InsitutionP,O15),"")</f>
        <v>0</v>
      </c>
      <c r="W19" s="244">
        <f>IFERROR(SUMIFS(SeventhYearP,Participants2,O19,InsitutionP,O15),"")</f>
        <v>0</v>
      </c>
      <c r="X19" s="367">
        <f>IFERROR(SUMIFS(EighthYearP,Participants2,O19,InsitutionP,O15),"")</f>
        <v>0</v>
      </c>
      <c r="Y19" s="367">
        <f>IFERROR(SUMIFS(NinthYearP,Participants2,O19,InsitutionP,O15),"")</f>
        <v>0</v>
      </c>
      <c r="Z19" s="247">
        <f>IFERROR(SUMIFS(CoFinancingP,Participants2,O19,InsitutionP,O15),"")</f>
        <v>0</v>
      </c>
      <c r="AA19" s="248">
        <f>IFERROR(SUMIFS(OtherP,Participants2,O19,InsitutionP,O15),"")</f>
        <v>0</v>
      </c>
    </row>
    <row r="20" spans="1:27" ht="15.75" thickBot="1" x14ac:dyDescent="0.3">
      <c r="A20" s="176" t="s">
        <v>799</v>
      </c>
      <c r="B20" s="336" t="str">
        <f t="shared" si="22"/>
        <v/>
      </c>
      <c r="C20" s="244">
        <f>IFERROR(SUMIFS(FirstYearP,Participants2,A20,InsitutionP,A15),"")</f>
        <v>0</v>
      </c>
      <c r="D20" s="244">
        <f>IFERROR(SUMIFS(SecondYearP,Participants2,A20,InsitutionP,A15),"")</f>
        <v>0</v>
      </c>
      <c r="E20" s="244">
        <f>IFERROR(SUMIFS(ThirdYearP,Participants2,A20,InsitutionP,A15),"")</f>
        <v>0</v>
      </c>
      <c r="F20" s="244">
        <f>IFERROR(SUMIFS(FourthYearP,Participants2,A20,InsitutionP,A15),"")</f>
        <v>0</v>
      </c>
      <c r="G20" s="244">
        <f>IFERROR(SUMIFS(FifthYearP,Participants2,A20,InsitutionP,A15),"")</f>
        <v>0</v>
      </c>
      <c r="H20" s="244">
        <f>IFERROR(SUMIFS(SixthYearP,Participants2,A20,InsitutionP,A15),"")</f>
        <v>0</v>
      </c>
      <c r="I20" s="244">
        <f>IFERROR(SUMIFS(SeventhYearP,Participants2,A20,InsitutionP,A15),"")</f>
        <v>0</v>
      </c>
      <c r="J20" s="367">
        <f>IFERROR(SUMIFS(EighthYearP,Participants2,A20,InsitutionP,A15),"")</f>
        <v>0</v>
      </c>
      <c r="K20" s="367">
        <f>IFERROR(SUMIFS(NinthYearP,Participants2,A20,InsitutionP,A15),"")</f>
        <v>0</v>
      </c>
      <c r="L20" s="247">
        <f>IFERROR(SUMIFS(CoFinancingP,Participants2,A20,InsitutionP,A15),"")</f>
        <v>0</v>
      </c>
      <c r="M20" s="248">
        <f>IFERROR(SUMIFS(OtherP,Participants2,A20,InsitutionP,A15),"")</f>
        <v>0</v>
      </c>
      <c r="O20" s="176" t="s">
        <v>799</v>
      </c>
      <c r="P20" s="336" t="str">
        <f t="shared" si="23"/>
        <v/>
      </c>
      <c r="Q20" s="244">
        <f>IFERROR(SUMIFS(FirstYearP,Participants2,O20,InsitutionP,O15),"")</f>
        <v>0</v>
      </c>
      <c r="R20" s="244">
        <f>IFERROR(SUMIFS(SecondYearP,Participants2,O20,InsitutionP,O15),"")</f>
        <v>0</v>
      </c>
      <c r="S20" s="244">
        <f>IFERROR(SUMIFS(ThirdYearP,Participants2,O20,InsitutionP,O15),"")</f>
        <v>0</v>
      </c>
      <c r="T20" s="244">
        <f>IFERROR(SUMIFS(FourthYearP,Participants2,O20,InsitutionP,O15),"")</f>
        <v>0</v>
      </c>
      <c r="U20" s="244">
        <f>IFERROR(SUMIFS(FifthYearP,Participants2,O20,InsitutionP,O15),"")</f>
        <v>0</v>
      </c>
      <c r="V20" s="244">
        <f>IFERROR(SUMIFS(SixthYearP,Participants2,O20,InsitutionP,O15),"")</f>
        <v>0</v>
      </c>
      <c r="W20" s="244">
        <f>IFERROR(SUMIFS(SeventhYearP,Participants2,O20,InsitutionP,O15),"")</f>
        <v>0</v>
      </c>
      <c r="X20" s="367">
        <f>IFERROR(SUMIFS(EighthYearP,Participants2,O20,InsitutionP,O15),"")</f>
        <v>0</v>
      </c>
      <c r="Y20" s="367">
        <f>IFERROR(SUMIFS(NinthYearP,Participants2,O20,InsitutionP,O15),"")</f>
        <v>0</v>
      </c>
      <c r="Z20" s="247">
        <f>IFERROR(SUMIFS(CoFinancingP,Participants2,O20,InsitutionP,O15),"")</f>
        <v>0</v>
      </c>
      <c r="AA20" s="248">
        <f>IFERROR(SUMIFS(OtherP,Participants2,O20,InsitutionP,O15),"")</f>
        <v>0</v>
      </c>
    </row>
    <row r="21" spans="1:27" x14ac:dyDescent="0.25">
      <c r="A21" s="177" t="s">
        <v>786</v>
      </c>
      <c r="B21" s="334" t="str">
        <f t="shared" si="22"/>
        <v/>
      </c>
      <c r="C21" s="212" t="str">
        <f>IFERROR(IF(SUM(C17:C20)=0, "", SUM(C17:C20)),"")</f>
        <v/>
      </c>
      <c r="D21" s="212" t="str">
        <f t="shared" ref="D21" si="24">IFERROR(IF(SUM(D17:D20)=0, "", SUM(D17:D20)),"")</f>
        <v/>
      </c>
      <c r="E21" s="212" t="str">
        <f t="shared" ref="E21" si="25">IFERROR(IF(SUM(E17:E20)=0, "", SUM(E17:E20)),"")</f>
        <v/>
      </c>
      <c r="F21" s="212" t="str">
        <f t="shared" ref="F21" si="26">IFERROR(IF(SUM(F17:F20)=0, "", SUM(F17:F20)),"")</f>
        <v/>
      </c>
      <c r="G21" s="212" t="str">
        <f t="shared" ref="G21" si="27">IFERROR(IF(SUM(G17:G20)=0, "", SUM(G17:G20)),"")</f>
        <v/>
      </c>
      <c r="H21" s="212" t="str">
        <f t="shared" ref="H21" si="28">IFERROR(IF(SUM(H17:H20)=0, "", SUM(H17:H20)),"")</f>
        <v/>
      </c>
      <c r="I21" s="212" t="str">
        <f t="shared" ref="I21:K21" si="29">IFERROR(IF(SUM(I17:I20)=0, "", SUM(I17:I20)),"")</f>
        <v/>
      </c>
      <c r="J21" s="365" t="str">
        <f>IFERROR(IF(SUM(J17:J20)=0, "", SUM(J17:J20)),"")</f>
        <v/>
      </c>
      <c r="K21" s="365" t="str">
        <f t="shared" si="29"/>
        <v/>
      </c>
      <c r="L21" s="223" t="str">
        <f>IFERROR(IF(SUM(L17:L20)=0, "", SUM(L17:L20)),"")</f>
        <v/>
      </c>
      <c r="M21" s="224" t="str">
        <f>IFERROR(IF(SUM(M17:M20)=0, "", SUM(M17:M20)),"")</f>
        <v/>
      </c>
      <c r="O21" s="177" t="s">
        <v>786</v>
      </c>
      <c r="P21" s="334" t="str">
        <f t="shared" si="23"/>
        <v/>
      </c>
      <c r="Q21" s="212" t="str">
        <f>IFERROR(IF(SUM(Q17:Q20)=0, "", SUM(Q17:Q20)),"")</f>
        <v/>
      </c>
      <c r="R21" s="212" t="str">
        <f t="shared" ref="R21" si="30">IFERROR(IF(SUM(R17:R20)=0, "", SUM(R17:R20)),"")</f>
        <v/>
      </c>
      <c r="S21" s="212" t="str">
        <f t="shared" ref="S21" si="31">IFERROR(IF(SUM(S17:S20)=0, "", SUM(S17:S20)),"")</f>
        <v/>
      </c>
      <c r="T21" s="212" t="str">
        <f t="shared" ref="T21" si="32">IFERROR(IF(SUM(T17:T20)=0, "", SUM(T17:T20)),"")</f>
        <v/>
      </c>
      <c r="U21" s="212" t="str">
        <f t="shared" ref="U21" si="33">IFERROR(IF(SUM(U17:U20)=0, "", SUM(U17:U20)),"")</f>
        <v/>
      </c>
      <c r="V21" s="212" t="str">
        <f t="shared" ref="V21" si="34">IFERROR(IF(SUM(V17:V20)=0, "", SUM(V17:V20)),"")</f>
        <v/>
      </c>
      <c r="W21" s="212" t="str">
        <f t="shared" ref="W21:Y21" si="35">IFERROR(IF(SUM(W17:W20)=0, "", SUM(W17:W20)),"")</f>
        <v/>
      </c>
      <c r="X21" s="365" t="str">
        <f t="shared" si="35"/>
        <v/>
      </c>
      <c r="Y21" s="365" t="str">
        <f t="shared" si="35"/>
        <v/>
      </c>
      <c r="Z21" s="223" t="str">
        <f>IFERROR(IF(SUM(Z17:Z20)=0, "", SUM(Z17:Z20)),"")</f>
        <v/>
      </c>
      <c r="AA21" s="224" t="str">
        <f>IFERROR(IF(SUM(AA17:AA20)=0, "", SUM(AA17:AA20)),"")</f>
        <v/>
      </c>
    </row>
    <row r="22" spans="1:27" ht="25.5" x14ac:dyDescent="0.25">
      <c r="A22" s="178" t="s">
        <v>850</v>
      </c>
      <c r="B22" s="337" t="str">
        <f t="shared" si="22"/>
        <v/>
      </c>
      <c r="C22" s="218">
        <f>IFERROR(SUMIFS(FirstYearP,Participants2,A22,InsitutionP,A15),"")</f>
        <v>0</v>
      </c>
      <c r="D22" s="218">
        <f>IFERROR(SUMIFS(SecondYearP,Participants2,A22,InsitutionP,A15),"")</f>
        <v>0</v>
      </c>
      <c r="E22" s="218">
        <f>IFERROR(SUMIFS(ThirdYearP,Participants2,A22,InsitutionP,A15),"")</f>
        <v>0</v>
      </c>
      <c r="F22" s="218">
        <f>IFERROR(SUMIFS(FourthYearP,Participants2,A22,InsitutionP,A15),"")</f>
        <v>0</v>
      </c>
      <c r="G22" s="219">
        <f>IFERROR(SUMIFS(FifthYearP,Participants2,A22,InsitutionP,A15),"")</f>
        <v>0</v>
      </c>
      <c r="H22" s="219">
        <f>IFERROR(SUMIFS(SixthYearP,Participants2,A22,InsitutionP,A15),"")</f>
        <v>0</v>
      </c>
      <c r="I22" s="220">
        <f>IFERROR(SUMIFS(SeventhYearP,Participants2,A22,InsitutionP,A15),"")</f>
        <v>0</v>
      </c>
      <c r="J22" s="219">
        <f>IFERROR(SUMIFS(EighthYearP,Participants2,A22,InsitutionP,A15),"")</f>
        <v>0</v>
      </c>
      <c r="K22" s="219">
        <f>IFERROR(SUMIFS(NinthYearP,Participants2,A22,InsitutionP,A15),"")</f>
        <v>0</v>
      </c>
      <c r="L22" s="221">
        <f>IFERROR(SUMIFS(CoFinancingP,Participants2,A22,InsitutionP,A15),"")</f>
        <v>0</v>
      </c>
      <c r="M22" s="222">
        <f>IFERROR(SUMIFS(OtherP,Participants2,A22,InsitutionP,A15),"")</f>
        <v>0</v>
      </c>
      <c r="O22" s="178" t="s">
        <v>850</v>
      </c>
      <c r="P22" s="337" t="str">
        <f t="shared" si="23"/>
        <v/>
      </c>
      <c r="Q22" s="218">
        <f>IFERROR(SUMIFS(FirstYearP,Participants2,O22,InsitutionP,O15),"")</f>
        <v>0</v>
      </c>
      <c r="R22" s="218">
        <f>IFERROR(SUMIFS(SecondYearP,Participants2,O22,InsitutionP,O15),"")</f>
        <v>0</v>
      </c>
      <c r="S22" s="218">
        <f>IFERROR(SUMIFS(ThirdYearP,Participants2,O22,InsitutionP,O15),"")</f>
        <v>0</v>
      </c>
      <c r="T22" s="218">
        <f>IFERROR(SUMIFS(FourthYearP,Participants2,O22,InsitutionP,O15),"")</f>
        <v>0</v>
      </c>
      <c r="U22" s="219">
        <f>IFERROR(SUMIFS(FifthYearP,Participants2,O22,InsitutionP,O15),"")</f>
        <v>0</v>
      </c>
      <c r="V22" s="219">
        <f>IFERROR(SUMIFS(SixthYearP,Participants2,O22,InsitutionP,O15),"")</f>
        <v>0</v>
      </c>
      <c r="W22" s="220">
        <f>IFERROR(SUMIFS(SeventhYearP,Participants2,O22,InsitutionP,O15),"")</f>
        <v>0</v>
      </c>
      <c r="X22" s="219">
        <f>IFERROR(SUMIFS(EighthYearP,Participants2,O22,InsitutionP,O15),"")</f>
        <v>0</v>
      </c>
      <c r="Y22" s="219">
        <f>IFERROR(SUMIFS(NinthYearP,Participants2,O22,InsitutionP,O15),"")</f>
        <v>0</v>
      </c>
      <c r="Z22" s="221">
        <f>IFERROR(SUMIFS(CoFinancingP,Participants2,O22,InsitutionP,O15),"")</f>
        <v>0</v>
      </c>
      <c r="AA22" s="222">
        <f>IFERROR(SUMIFS(OtherP,Participants2,O22,InsitutionP,O15),"")</f>
        <v>0</v>
      </c>
    </row>
    <row r="23" spans="1:27" x14ac:dyDescent="0.25">
      <c r="A23" s="178" t="s">
        <v>29</v>
      </c>
      <c r="B23" s="217" t="str">
        <f t="shared" si="22"/>
        <v/>
      </c>
      <c r="C23" s="218">
        <f>IFERROR(SUMIFS(FirstYearE,Expenses,A23,InsitutionE,A15),"")</f>
        <v>0</v>
      </c>
      <c r="D23" s="218">
        <f>IFERROR(SUMIFS(SecondYearE,Expenses,A23,InsitutionE,A15),"")</f>
        <v>0</v>
      </c>
      <c r="E23" s="218">
        <f>IFERROR(SUMIFS(ThirdYearE,Expenses,A23,InsitutionE,A15),"")</f>
        <v>0</v>
      </c>
      <c r="F23" s="218">
        <f>IFERROR(SUMIFS(FourthYearE,Expenses,A23,InsitutionE,A15),"")</f>
        <v>0</v>
      </c>
      <c r="G23" s="219">
        <f>IFERROR(SUMIFS(FifthYearE,Expenses,A23,InsitutionE,A15),"")</f>
        <v>0</v>
      </c>
      <c r="H23" s="219">
        <f>IFERROR(SUMIFS(SixthYearE,Expenses,A23,InsitutionE,A15),"")</f>
        <v>0</v>
      </c>
      <c r="I23" s="220">
        <f>IFERROR(SUMIFS(SeventhYearE,Expenses,A23,InsitutionE,A15),"")</f>
        <v>0</v>
      </c>
      <c r="J23" s="219">
        <f>IFERROR(SUMIFS(EightYearE,Expenses,A23,InsitutionE,A15),"")</f>
        <v>0</v>
      </c>
      <c r="K23" s="219">
        <f>IFERROR(SUMIFS(NinthYearE,Expenses,A23,InsitutionE,A15),"")</f>
        <v>0</v>
      </c>
      <c r="L23" s="221">
        <f>IFERROR(SUMIFS(CoFinancingE,Expenses,A23,InsitutionE,A15),"")</f>
        <v>0</v>
      </c>
      <c r="M23" s="222">
        <f>IFERROR(SUMIFS(OtherE,Expenses,A23,InsitutionE,A15),"")</f>
        <v>0</v>
      </c>
      <c r="O23" s="178" t="s">
        <v>29</v>
      </c>
      <c r="P23" s="217" t="str">
        <f t="shared" si="23"/>
        <v/>
      </c>
      <c r="Q23" s="218">
        <f>IFERROR(SUMIFS(FirstYearE,Expenses,O23,InsitutionE,O15),"")</f>
        <v>0</v>
      </c>
      <c r="R23" s="218">
        <f>IFERROR(SUMIFS(SecondYearE,Expenses,O23,InsitutionE,O15),"")</f>
        <v>0</v>
      </c>
      <c r="S23" s="218">
        <f>IFERROR(SUMIFS(ThirdYearE,Expenses,O23,InsitutionE,O15),"")</f>
        <v>0</v>
      </c>
      <c r="T23" s="218">
        <f>IFERROR(SUMIFS(FourthYearE,Expenses,O23,InsitutionE,O15),"")</f>
        <v>0</v>
      </c>
      <c r="U23" s="219">
        <f>IFERROR(SUMIFS(FifthYearE,Expenses,O23,InsitutionE,O15),"")</f>
        <v>0</v>
      </c>
      <c r="V23" s="219">
        <f>IFERROR(SUMIFS(SixthYearE,Expenses,O23,InsitutionE,O15),"")</f>
        <v>0</v>
      </c>
      <c r="W23" s="220">
        <f>IFERROR(SUMIFS(SeventhYearE,Expenses,O23,InsitutionE,O15),"")</f>
        <v>0</v>
      </c>
      <c r="X23" s="219">
        <f>IFERROR(SUMIFS(EightYearE,Expenses,O23,InsitutionE,O15),"")</f>
        <v>0</v>
      </c>
      <c r="Y23" s="219">
        <f>IFERROR(SUMIFS(NinthYearE,Expenses,O23,InsitutionE,O15),"")</f>
        <v>0</v>
      </c>
      <c r="Z23" s="221">
        <f>IFERROR(SUMIFS(CoFinancingE,Expenses,O23,InsitutionE,O15),"")</f>
        <v>0</v>
      </c>
      <c r="AA23" s="222">
        <f>IFERROR(SUMIFS(OtherE,Expenses,O23,InsitutionE,O15),"")</f>
        <v>0</v>
      </c>
    </row>
    <row r="24" spans="1:27" ht="15.75" thickBot="1" x14ac:dyDescent="0.3">
      <c r="A24" s="178" t="s">
        <v>39</v>
      </c>
      <c r="B24" s="217" t="str">
        <f t="shared" si="22"/>
        <v/>
      </c>
      <c r="C24" s="218">
        <f>IFERROR(SUMIFS(FirstYearE,Expenses,A24,InsitutionE,A15),"")</f>
        <v>0</v>
      </c>
      <c r="D24" s="218">
        <f>IFERROR(SUMIFS(SecondYearE,Expenses,A24,InsitutionE,A15),"")</f>
        <v>0</v>
      </c>
      <c r="E24" s="218">
        <f>IFERROR(SUMIFS(ThirdYearE,Expenses,A24,InsitutionE,A15),"")</f>
        <v>0</v>
      </c>
      <c r="F24" s="218">
        <f>IFERROR(SUMIFS(FourthYearE,Expenses,A24,InsitutionE,A15),"")</f>
        <v>0</v>
      </c>
      <c r="G24" s="219">
        <f>IFERROR(SUMIFS(FifthYearE,Expenses,A24,InsitutionE,A15),"")</f>
        <v>0</v>
      </c>
      <c r="H24" s="219">
        <f>IFERROR(SUMIFS(SixthYearE,Expenses,A24,InsitutionE,A15),"")</f>
        <v>0</v>
      </c>
      <c r="I24" s="220">
        <f>IFERROR(SUMIFS(SeventhYearE,Expenses,A24,InsitutionE,A15),"")</f>
        <v>0</v>
      </c>
      <c r="J24" s="219">
        <f>IFERROR(SUMIFS(EightYearE,Expenses,A24,InsitutionE,A15),"")</f>
        <v>0</v>
      </c>
      <c r="K24" s="219">
        <f>IFERROR(SUMIFS(NinthYearE,Expenses,A24,InsitutionE,A15),"")</f>
        <v>0</v>
      </c>
      <c r="L24" s="221">
        <f>IFERROR(SUMIFS(CoFinancingE,Expenses,A24,InsitutionE,A15),"")</f>
        <v>0</v>
      </c>
      <c r="M24" s="222">
        <f>IFERROR(SUMIFS(OtherE,Expenses,A24,InsitutionE,A15),"")</f>
        <v>0</v>
      </c>
      <c r="O24" s="178" t="s">
        <v>39</v>
      </c>
      <c r="P24" s="217" t="str">
        <f t="shared" si="23"/>
        <v/>
      </c>
      <c r="Q24" s="218">
        <f>IFERROR(SUMIFS(FirstYearE,Expenses,O24,InsitutionE,O15),"")</f>
        <v>0</v>
      </c>
      <c r="R24" s="218">
        <f>IFERROR(SUMIFS(SecondYearE,Expenses,O24,InsitutionE,O15),"")</f>
        <v>0</v>
      </c>
      <c r="S24" s="218">
        <f>IFERROR(SUMIFS(ThirdYearE,Expenses,O24,InsitutionE,O15),"")</f>
        <v>0</v>
      </c>
      <c r="T24" s="218">
        <f>IFERROR(SUMIFS(FourthYearE,Expenses,O24,InsitutionE,O15),"")</f>
        <v>0</v>
      </c>
      <c r="U24" s="219">
        <f>IFERROR(SUMIFS(FifthYearE,Expenses,O24,InsitutionE,O15),"")</f>
        <v>0</v>
      </c>
      <c r="V24" s="219">
        <f>IFERROR(SUMIFS(SixthYearE,Expenses,O24,InsitutionE,O15),"")</f>
        <v>0</v>
      </c>
      <c r="W24" s="220">
        <f>IFERROR(SUMIFS(SeventhYearE,Expenses,O24,InsitutionE,O15),"")</f>
        <v>0</v>
      </c>
      <c r="X24" s="219">
        <f>IFERROR(SUMIFS(EightYearE,Expenses,O24,InsitutionE,O15),"")</f>
        <v>0</v>
      </c>
      <c r="Y24" s="219">
        <f>IFERROR(SUMIFS(NinthYearE,Expenses,O24,InsitutionE,O15),"")</f>
        <v>0</v>
      </c>
      <c r="Z24" s="221">
        <f>IFERROR(SUMIFS(CoFinancingE,Expenses,O24,InsitutionE,O15),"")</f>
        <v>0</v>
      </c>
      <c r="AA24" s="222">
        <f>IFERROR(SUMIFS(OtherE,Expenses,O24,InsitutionE,O15),"")</f>
        <v>0</v>
      </c>
    </row>
    <row r="25" spans="1:27" ht="15.75" thickBot="1" x14ac:dyDescent="0.3">
      <c r="A25" s="177" t="s">
        <v>817</v>
      </c>
      <c r="B25" s="338" t="str">
        <f t="shared" si="22"/>
        <v/>
      </c>
      <c r="C25" s="365" t="str">
        <f>IFERROR(IF(SUM(C21:C24)=0, "", ROUND(SUM(C21:C24),0)),"")</f>
        <v/>
      </c>
      <c r="D25" s="365" t="str">
        <f t="shared" ref="D25:H25" si="36">IFERROR(IF(SUM(D21:D24)=0, "", ROUND(SUM(D21:D24),0)),"")</f>
        <v/>
      </c>
      <c r="E25" s="365" t="str">
        <f t="shared" si="36"/>
        <v/>
      </c>
      <c r="F25" s="365" t="str">
        <f t="shared" si="36"/>
        <v/>
      </c>
      <c r="G25" s="365" t="str">
        <f t="shared" si="36"/>
        <v/>
      </c>
      <c r="H25" s="365" t="str">
        <f t="shared" si="36"/>
        <v/>
      </c>
      <c r="I25" s="365" t="str">
        <f>IFERROR(IF(SUM(I21:I24)=0, "", ROUND(SUM(I21:I24),0)),"")</f>
        <v/>
      </c>
      <c r="J25" s="365" t="str">
        <f>IFERROR(IF(SUM(J21:J24)=0, "", ROUND(SUM(J21:J24),0)),"")</f>
        <v/>
      </c>
      <c r="K25" s="365" t="str">
        <f t="shared" ref="K25" si="37">IFERROR(IF(SUM(K21:K24)=0, "", ROUND(SUM(K21:K24),0)),"")</f>
        <v/>
      </c>
      <c r="L25" s="225" t="str">
        <f>IFERROR(IF(SUM(L21:L24)=0, "", ROUND(SUM(L21:L24),0)),"")</f>
        <v/>
      </c>
      <c r="M25" s="226" t="str">
        <f>IFERROR(IF(SUM(M21:M24)=0, "", ROUND(SUM(M21:M24),0)),"")</f>
        <v/>
      </c>
      <c r="O25" s="177" t="s">
        <v>817</v>
      </c>
      <c r="P25" s="338" t="str">
        <f t="shared" si="23"/>
        <v/>
      </c>
      <c r="Q25" s="212" t="str">
        <f>IFERROR(IF(SUM(Q21:Q24)=0, "", ROUND(SUM(Q21:Q24),0)),"")</f>
        <v/>
      </c>
      <c r="R25" s="365" t="str">
        <f t="shared" ref="R25:V25" si="38">IFERROR(IF(SUM(R21:R24)=0, "", ROUND(SUM(R21:R24),0)),"")</f>
        <v/>
      </c>
      <c r="S25" s="365" t="str">
        <f t="shared" si="38"/>
        <v/>
      </c>
      <c r="T25" s="365" t="str">
        <f t="shared" si="38"/>
        <v/>
      </c>
      <c r="U25" s="365" t="str">
        <f t="shared" si="38"/>
        <v/>
      </c>
      <c r="V25" s="365" t="str">
        <f t="shared" si="38"/>
        <v/>
      </c>
      <c r="W25" s="365" t="str">
        <f>IFERROR(IF(SUM(W21:W24)=0, "", ROUND(SUM(W21:W24),0)),"")</f>
        <v/>
      </c>
      <c r="X25" s="365" t="str">
        <f t="shared" ref="X25:Y25" si="39">IFERROR(IF(SUM(X21:X24)=0, "", ROUND(SUM(X21:X24),0)),"")</f>
        <v/>
      </c>
      <c r="Y25" s="365" t="str">
        <f t="shared" si="39"/>
        <v/>
      </c>
      <c r="Z25" s="225" t="str">
        <f>IFERROR(IF(SUM(Z21:Z24)=0, "", ROUND(SUM(Z21:Z24),0)),"")</f>
        <v/>
      </c>
      <c r="AA25" s="226" t="str">
        <f>IFERROR(IF(SUM(AA21:AA24)=0, "", ROUND(SUM(AA21:AA24),0)),"")</f>
        <v/>
      </c>
    </row>
    <row r="26" spans="1:27" ht="15.75" thickBot="1" x14ac:dyDescent="0.3">
      <c r="A26" s="178" t="s">
        <v>13</v>
      </c>
      <c r="B26" s="339" t="str">
        <f t="shared" si="22"/>
        <v/>
      </c>
      <c r="C26" s="218" t="str">
        <f>IFERROR(IF(Budget!$G$14="", "",ROUND(Budget!$G$14*C25,0)),"")</f>
        <v/>
      </c>
      <c r="D26" s="218" t="str">
        <f>IFERROR(IF(Budget!$G$14="", "",ROUND(Budget!$G$14*D25,0)),"")</f>
        <v/>
      </c>
      <c r="E26" s="218" t="str">
        <f>IFERROR(IF(Budget!$G$14="", "",ROUND(Budget!$G$14*E25,0)),"")</f>
        <v/>
      </c>
      <c r="F26" s="218" t="str">
        <f>IFERROR(IF(Budget!$G$14="", "",ROUND(Budget!$G$14*F25,0)),"")</f>
        <v/>
      </c>
      <c r="G26" s="218" t="str">
        <f>IFERROR(IF(Budget!$G$14="", "",ROUND(Budget!$G$14*G25,0)),"")</f>
        <v/>
      </c>
      <c r="H26" s="218" t="str">
        <f>IFERROR(IF(Budget!$G$14="", "",ROUND(Budget!$G$14*H25,0)),"")</f>
        <v/>
      </c>
      <c r="I26" s="416" t="str">
        <f>IFERROR(IF(Budget!$G$14="", "",ROUND(Budget!$G$14*I25,0)),"")</f>
        <v/>
      </c>
      <c r="J26" s="220" t="str">
        <f>IFERROR(IF(Budget!$G$14="", "",ROUND(Budget!$G$14*J25,0)),"")</f>
        <v/>
      </c>
      <c r="K26" s="417" t="str">
        <f>IFERROR(IF(Budget!$G$14="", "",ROUND(Budget!$G$14*K25,0)),"")</f>
        <v/>
      </c>
      <c r="L26" s="227"/>
      <c r="M26" s="227"/>
      <c r="O26" s="178" t="s">
        <v>13</v>
      </c>
      <c r="P26" s="339" t="str">
        <f t="shared" si="23"/>
        <v/>
      </c>
      <c r="Q26" s="341" t="str">
        <f>IFERROR(IF(Budget!$I$14="", "",ROUND(Budget!$I$14*Q25,0)),"")</f>
        <v/>
      </c>
      <c r="R26" s="341" t="str">
        <f>IFERROR(IF(Budget!$I$14="", "",ROUND(Budget!$I$14*R25,0)),"")</f>
        <v/>
      </c>
      <c r="S26" s="341" t="str">
        <f>IFERROR(IF(Budget!$I$14="", "",ROUND(Budget!$I$14*S25,0)),"")</f>
        <v/>
      </c>
      <c r="T26" s="341" t="str">
        <f>IFERROR(IF(Budget!$I$14="", "",ROUND(Budget!$I$14*T25,0)),"")</f>
        <v/>
      </c>
      <c r="U26" s="341" t="str">
        <f>IFERROR(IF(Budget!$I$14="", "",ROUND(Budget!$I$14*U25,0)),"")</f>
        <v/>
      </c>
      <c r="V26" s="341" t="str">
        <f>IFERROR(IF(Budget!$I$14="", "",ROUND(Budget!$I$14*V25,0)),"")</f>
        <v/>
      </c>
      <c r="W26" s="416" t="str">
        <f>IFERROR(IF(Budget!$I$14="", "",ROUND(Budget!$I$14*W25,0)),"")</f>
        <v/>
      </c>
      <c r="X26" s="422" t="str">
        <f>IFERROR(IF(Budget!$I$14="", "",ROUND(Budget!$I$14*X25,0)),"")</f>
        <v/>
      </c>
      <c r="Y26" s="423" t="str">
        <f>IFERROR(IF(Budget!$I$14="", "",ROUND(Budget!$I$14*Y25,0)),"")</f>
        <v/>
      </c>
      <c r="Z26" s="227"/>
      <c r="AA26" s="227"/>
    </row>
    <row r="27" spans="1:27" ht="15.75" thickBot="1" x14ac:dyDescent="0.3">
      <c r="A27" s="179" t="s">
        <v>809</v>
      </c>
      <c r="B27" s="340" t="str">
        <f t="shared" si="22"/>
        <v/>
      </c>
      <c r="C27" s="228" t="str">
        <f>IFERROR(IF(SUM(C25:C26)=0, "", SUM(C25:C26)),"")</f>
        <v/>
      </c>
      <c r="D27" s="228" t="str">
        <f t="shared" ref="D27" si="40">IFERROR(IF(SUM(D25:D26)=0, "", SUM(D25:D26)),"")</f>
        <v/>
      </c>
      <c r="E27" s="228" t="str">
        <f t="shared" ref="E27" si="41">IFERROR(IF(SUM(E25:E26)=0, "", SUM(E25:E26)),"")</f>
        <v/>
      </c>
      <c r="F27" s="228" t="str">
        <f t="shared" ref="F27" si="42">IFERROR(IF(SUM(F25:F26)=0, "", SUM(F25:F26)),"")</f>
        <v/>
      </c>
      <c r="G27" s="228" t="str">
        <f t="shared" ref="G27" si="43">IFERROR(IF(SUM(G25:G26)=0, "", SUM(G25:G26)),"")</f>
        <v/>
      </c>
      <c r="H27" s="228" t="str">
        <f t="shared" ref="H27" si="44">IFERROR(IF(SUM(H25:H26)=0, "", SUM(H25:H26)),"")</f>
        <v/>
      </c>
      <c r="I27" s="229" t="str">
        <f t="shared" ref="I27:K27" si="45">IFERROR(IF(SUM(I25:I26)=0, "", SUM(I25:I26)),"")</f>
        <v/>
      </c>
      <c r="J27" s="379" t="str">
        <f t="shared" si="45"/>
        <v/>
      </c>
      <c r="K27" s="418" t="str">
        <f t="shared" si="45"/>
        <v/>
      </c>
      <c r="L27" s="227"/>
      <c r="M27" s="227"/>
      <c r="O27" s="179" t="s">
        <v>809</v>
      </c>
      <c r="P27" s="340" t="str">
        <f t="shared" si="23"/>
        <v/>
      </c>
      <c r="Q27" s="228" t="str">
        <f>IFERROR(IF(SUM(Q25:Q26)=0, "", SUM(Q25:Q26)),"")</f>
        <v/>
      </c>
      <c r="R27" s="228" t="str">
        <f t="shared" ref="R27" si="46">IFERROR(IF(SUM(R25:R26)=0, "", SUM(R25:R26)),"")</f>
        <v/>
      </c>
      <c r="S27" s="228" t="str">
        <f t="shared" ref="S27" si="47">IFERROR(IF(SUM(S25:S26)=0, "", SUM(S25:S26)),"")</f>
        <v/>
      </c>
      <c r="T27" s="228" t="str">
        <f t="shared" ref="T27" si="48">IFERROR(IF(SUM(T25:T26)=0, "", SUM(T25:T26)),"")</f>
        <v/>
      </c>
      <c r="U27" s="228" t="str">
        <f t="shared" ref="U27" si="49">IFERROR(IF(SUM(U25:U26)=0, "", SUM(U25:U26)),"")</f>
        <v/>
      </c>
      <c r="V27" s="228" t="str">
        <f t="shared" ref="V27" si="50">IFERROR(IF(SUM(V25:V26)=0, "", SUM(V25:V26)),"")</f>
        <v/>
      </c>
      <c r="W27" s="229" t="str">
        <f t="shared" ref="W27:Y27" si="51">IFERROR(IF(SUM(W25:W26)=0, "", SUM(W25:W26)),"")</f>
        <v/>
      </c>
      <c r="X27" s="379" t="str">
        <f t="shared" si="51"/>
        <v/>
      </c>
      <c r="Y27" s="418" t="str">
        <f t="shared" si="51"/>
        <v/>
      </c>
      <c r="Z27" s="227"/>
      <c r="AA27" s="227"/>
    </row>
    <row r="28" spans="1:27" ht="15.75" thickBot="1" x14ac:dyDescent="0.3"/>
    <row r="29" spans="1:27" ht="19.5" thickBot="1" x14ac:dyDescent="0.35">
      <c r="A29" s="512" t="s">
        <v>632</v>
      </c>
      <c r="B29" s="513"/>
      <c r="C29" s="513"/>
      <c r="D29" s="513"/>
      <c r="E29" s="513"/>
      <c r="F29" s="513"/>
      <c r="G29" s="513"/>
      <c r="H29" s="513"/>
      <c r="I29" s="513"/>
      <c r="J29" s="513"/>
      <c r="K29" s="513"/>
      <c r="L29" s="513"/>
      <c r="M29" s="514"/>
      <c r="O29" s="512" t="s">
        <v>633</v>
      </c>
      <c r="P29" s="513"/>
      <c r="Q29" s="513"/>
      <c r="R29" s="513"/>
      <c r="S29" s="513"/>
      <c r="T29" s="513"/>
      <c r="U29" s="513"/>
      <c r="V29" s="513"/>
      <c r="W29" s="513"/>
      <c r="X29" s="513"/>
      <c r="Y29" s="513"/>
      <c r="Z29" s="513"/>
      <c r="AA29" s="514"/>
    </row>
    <row r="30" spans="1:27" ht="26.25" thickBot="1" x14ac:dyDescent="0.3">
      <c r="A30" s="130" t="s">
        <v>825</v>
      </c>
      <c r="B30" s="388" t="s">
        <v>688</v>
      </c>
      <c r="C30" s="390">
        <f>FirstYear</f>
        <v>2021</v>
      </c>
      <c r="D30" s="390">
        <f>FirstYear+1</f>
        <v>2022</v>
      </c>
      <c r="E30" s="390">
        <f>FirstYear+2</f>
        <v>2023</v>
      </c>
      <c r="F30" s="390">
        <f>FirstYear+3</f>
        <v>2024</v>
      </c>
      <c r="G30" s="390">
        <f>FirstYear+4</f>
        <v>2025</v>
      </c>
      <c r="H30" s="390">
        <f>FirstYear+5</f>
        <v>2026</v>
      </c>
      <c r="I30" s="390">
        <f>FirstYear+6</f>
        <v>2027</v>
      </c>
      <c r="J30" s="390">
        <f>FirstYear+7</f>
        <v>2028</v>
      </c>
      <c r="K30" s="390">
        <f>FirstYear+8</f>
        <v>2029</v>
      </c>
      <c r="L30" s="391" t="s">
        <v>15</v>
      </c>
      <c r="M30" s="392" t="s">
        <v>689</v>
      </c>
      <c r="O30" s="130" t="s">
        <v>825</v>
      </c>
      <c r="P30" s="388" t="s">
        <v>688</v>
      </c>
      <c r="Q30" s="390">
        <f>FirstYear</f>
        <v>2021</v>
      </c>
      <c r="R30" s="390">
        <f>FirstYear+1</f>
        <v>2022</v>
      </c>
      <c r="S30" s="390">
        <f>FirstYear+2</f>
        <v>2023</v>
      </c>
      <c r="T30" s="390">
        <f>FirstYear+3</f>
        <v>2024</v>
      </c>
      <c r="U30" s="390">
        <f>FirstYear+4</f>
        <v>2025</v>
      </c>
      <c r="V30" s="390">
        <f>FirstYear+5</f>
        <v>2026</v>
      </c>
      <c r="W30" s="390">
        <f>FirstYear+6</f>
        <v>2027</v>
      </c>
      <c r="X30" s="390">
        <f>FirstYear+7</f>
        <v>2028</v>
      </c>
      <c r="Y30" s="390">
        <f>FirstYear+8</f>
        <v>2029</v>
      </c>
      <c r="Z30" s="391" t="s">
        <v>15</v>
      </c>
      <c r="AA30" s="392" t="s">
        <v>689</v>
      </c>
    </row>
    <row r="31" spans="1:27" x14ac:dyDescent="0.25">
      <c r="A31" s="175" t="s">
        <v>783</v>
      </c>
      <c r="B31" s="334"/>
      <c r="C31" s="212"/>
      <c r="D31" s="212"/>
      <c r="E31" s="212"/>
      <c r="F31" s="212"/>
      <c r="G31" s="213"/>
      <c r="H31" s="213"/>
      <c r="I31" s="214"/>
      <c r="J31" s="213"/>
      <c r="K31" s="213"/>
      <c r="L31" s="215"/>
      <c r="M31" s="216"/>
      <c r="O31" s="175" t="s">
        <v>783</v>
      </c>
      <c r="P31" s="334"/>
      <c r="Q31" s="212"/>
      <c r="R31" s="212"/>
      <c r="S31" s="212"/>
      <c r="T31" s="212"/>
      <c r="U31" s="213"/>
      <c r="V31" s="213"/>
      <c r="W31" s="214"/>
      <c r="X31" s="213"/>
      <c r="Y31" s="213"/>
      <c r="Z31" s="215"/>
      <c r="AA31" s="216"/>
    </row>
    <row r="32" spans="1:27" x14ac:dyDescent="0.25">
      <c r="A32" s="243" t="s">
        <v>798</v>
      </c>
      <c r="B32" s="335" t="str">
        <f t="shared" ref="B32:B41" si="52">IFERROR(IF(SUM(C32:K32)=0, "", SUM(C32:K32)),"")</f>
        <v/>
      </c>
      <c r="C32" s="244">
        <f>IFERROR(SUMIFS(FirstYearP,Participants2,A32,InsitutionP,A29),"")</f>
        <v>0</v>
      </c>
      <c r="D32" s="244">
        <f>IFERROR(SUMIFS(SecondYearP,Participants2,A32,InsitutionP,A29),"")</f>
        <v>0</v>
      </c>
      <c r="E32" s="244">
        <f>IFERROR(SUMIFS(ThirdYearP,Participants2,A32,InsitutionP,A29),"")</f>
        <v>0</v>
      </c>
      <c r="F32" s="244">
        <f>IFERROR(SUMIFS(FourthYearP,Participants2,A32,InsitutionP,A29),"")</f>
        <v>0</v>
      </c>
      <c r="G32" s="244">
        <f>IFERROR(SUMIFS(FifthYearP,Participants2,A32,InsitutionP,A29),"")</f>
        <v>0</v>
      </c>
      <c r="H32" s="244">
        <f>IFERROR(SUMIFS(SixthYearP,Participants2,A32,InsitutionP,A29),"")</f>
        <v>0</v>
      </c>
      <c r="I32" s="244">
        <f>IFERROR(SUMIFS(SeventhYearP,Participants2,A32,InsitutionP,A29),"")</f>
        <v>0</v>
      </c>
      <c r="J32" s="367">
        <f>IFERROR(SUMIFS(EighthYearP,Participants2,A32,InsitutionP,A29),"")</f>
        <v>0</v>
      </c>
      <c r="K32" s="367">
        <f>IFERROR(SUMIFS(NinthYearP,Participants2,A32,InsitutionP,A29),"")</f>
        <v>0</v>
      </c>
      <c r="L32" s="247">
        <f>IFERROR(SUMIFS(CoFinancingP,Participants2,A32,InsitutionP,A29),"")</f>
        <v>0</v>
      </c>
      <c r="M32" s="248">
        <f>IFERROR(SUMIFS(OtherP,Participants2,A32,InsitutionP,A29),"")</f>
        <v>0</v>
      </c>
      <c r="O32" s="243" t="s">
        <v>798</v>
      </c>
      <c r="P32" s="335" t="str">
        <f t="shared" ref="P32:P41" si="53">IFERROR(IF(SUM(Q32:Y32)=0, "", SUM(Q32:Y32)),"")</f>
        <v/>
      </c>
      <c r="Q32" s="244">
        <f>IFERROR(SUMIFS(FirstYearP,Participants2,O32,InsitutionP,O29),"")</f>
        <v>0</v>
      </c>
      <c r="R32" s="244">
        <f>IFERROR(SUMIFS(SecondYearP,Participants2,O32,InsitutionP,O29),"")</f>
        <v>0</v>
      </c>
      <c r="S32" s="244">
        <f>IFERROR(SUMIFS(ThirdYearP,Participants2,O32,InsitutionP,O29),"")</f>
        <v>0</v>
      </c>
      <c r="T32" s="244">
        <f>IFERROR(SUMIFS(FourthYearP,Participants2,O32,InsitutionP,O29),"")</f>
        <v>0</v>
      </c>
      <c r="U32" s="244">
        <f>IFERROR(SUMIFS(FifthYearP,Participants2,O32,InsitutionP,O29),"")</f>
        <v>0</v>
      </c>
      <c r="V32" s="244">
        <f>IFERROR(SUMIFS(SixthYearP,Participants2,O32,InsitutionP,O29),"")</f>
        <v>0</v>
      </c>
      <c r="W32" s="244">
        <f>IFERROR(SUMIFS(SeventhYearP,Participants2,O32,InsitutionP,O29),"")</f>
        <v>0</v>
      </c>
      <c r="X32" s="367">
        <f>IFERROR(SUMIFS(EighthYearP,Participants2,O32,InsitutionP,O29),"")</f>
        <v>0</v>
      </c>
      <c r="Y32" s="367">
        <f>IFERROR(SUMIFS(NinthYearP,Participants2,O32,InsitutionP,O29),"")</f>
        <v>0</v>
      </c>
      <c r="Z32" s="247">
        <f>IFERROR(SUMIFS(CoFinancingP,Participants2,O32,InsitutionP,O29),"")</f>
        <v>0</v>
      </c>
      <c r="AA32" s="248">
        <f>IFERROR(SUMIFS(OtherP,Participants2,O32,InsitutionP,O29),"")</f>
        <v>0</v>
      </c>
    </row>
    <row r="33" spans="1:27" x14ac:dyDescent="0.25">
      <c r="A33" s="176" t="s">
        <v>784</v>
      </c>
      <c r="B33" s="335" t="str">
        <f t="shared" si="52"/>
        <v/>
      </c>
      <c r="C33" s="244">
        <f>IFERROR(SUMIFS(FirstYearP,Participants2,A33,InsitutionP,A29),"")</f>
        <v>0</v>
      </c>
      <c r="D33" s="244">
        <f>IFERROR(SUMIFS(SecondYearP,Participants2,A33,InsitutionP,A29),"")</f>
        <v>0</v>
      </c>
      <c r="E33" s="244">
        <f>IFERROR(SUMIFS(ThirdYearP,Participants2,A33,InsitutionP,A29),"")</f>
        <v>0</v>
      </c>
      <c r="F33" s="244">
        <f>IFERROR(SUMIFS(FourthYearP,Participants2,A33,InsitutionP,A29),"")</f>
        <v>0</v>
      </c>
      <c r="G33" s="244">
        <f>IFERROR(SUMIFS(FifthYearP,Participants2,A33,InsitutionP,A29),"")</f>
        <v>0</v>
      </c>
      <c r="H33" s="244">
        <f>IFERROR(SUMIFS(SixthYearP,Participants2,A33,InsitutionP,A29),"")</f>
        <v>0</v>
      </c>
      <c r="I33" s="244">
        <f>IFERROR(SUMIFS(SeventhYearP,Participants2,A33,InsitutionP,A29),"")</f>
        <v>0</v>
      </c>
      <c r="J33" s="367">
        <f>IFERROR(SUMIFS(EighthYearP,Participants2,A33,InsitutionP,A29),"")</f>
        <v>0</v>
      </c>
      <c r="K33" s="367">
        <f>IFERROR(SUMIFS(NinthYearP,Participants2,A33,InsitutionP,A29),"")</f>
        <v>0</v>
      </c>
      <c r="L33" s="247">
        <f>IFERROR(SUMIFS(CoFinancingP,Participants2,A33,InsitutionP,A29),"")</f>
        <v>0</v>
      </c>
      <c r="M33" s="248">
        <f>IFERROR(SUMIFS(OtherP,Participants2,A33,InsitutionP,A29),"")</f>
        <v>0</v>
      </c>
      <c r="O33" s="176" t="s">
        <v>784</v>
      </c>
      <c r="P33" s="335" t="str">
        <f t="shared" si="53"/>
        <v/>
      </c>
      <c r="Q33" s="244">
        <f>IFERROR(SUMIFS(FirstYearP,Participants2,O33,InsitutionP,O29),"")</f>
        <v>0</v>
      </c>
      <c r="R33" s="244">
        <f>IFERROR(SUMIFS(SecondYearP,Participants2,O33,InsitutionP,O29),"")</f>
        <v>0</v>
      </c>
      <c r="S33" s="244">
        <f>IFERROR(SUMIFS(ThirdYearP,Participants2,O33,InsitutionP,O29),"")</f>
        <v>0</v>
      </c>
      <c r="T33" s="244">
        <f>IFERROR(SUMIFS(FourthYearP,Participants2,O33,InsitutionP,O29),"")</f>
        <v>0</v>
      </c>
      <c r="U33" s="244">
        <f>IFERROR(SUMIFS(FifthYearP,Participants2,O33,InsitutionP,O29),"")</f>
        <v>0</v>
      </c>
      <c r="V33" s="244">
        <f>IFERROR(SUMIFS(SixthYearP,Participants2,O33,InsitutionP,O29),"")</f>
        <v>0</v>
      </c>
      <c r="W33" s="244">
        <f>IFERROR(SUMIFS(SeventhYearP,Participants2,O33,InsitutionP,O29),"")</f>
        <v>0</v>
      </c>
      <c r="X33" s="367">
        <f>IFERROR(SUMIFS(EighthYearP,Participants2,O33,InsitutionP,O29),"")</f>
        <v>0</v>
      </c>
      <c r="Y33" s="367">
        <f>IFERROR(SUMIFS(NinthYearP,Participants2,O33,InsitutionP,O29),"")</f>
        <v>0</v>
      </c>
      <c r="Z33" s="247">
        <f>IFERROR(SUMIFS(CoFinancingP,Participants2,O33,InsitutionP,O29),"")</f>
        <v>0</v>
      </c>
      <c r="AA33" s="248">
        <f>IFERROR(SUMIFS(OtherP,Participants2,O33,InsitutionP,O29),"")</f>
        <v>0</v>
      </c>
    </row>
    <row r="34" spans="1:27" ht="15.75" thickBot="1" x14ac:dyDescent="0.3">
      <c r="A34" s="176" t="s">
        <v>799</v>
      </c>
      <c r="B34" s="336" t="str">
        <f t="shared" si="52"/>
        <v/>
      </c>
      <c r="C34" s="244">
        <f>IFERROR(SUMIFS(FirstYearP,Participants2,A34,InsitutionP,A29),"")</f>
        <v>0</v>
      </c>
      <c r="D34" s="244">
        <f>IFERROR(SUMIFS(SecondYearP,Participants2,A34,InsitutionP,A29),"")</f>
        <v>0</v>
      </c>
      <c r="E34" s="244">
        <f>IFERROR(SUMIFS(ThirdYearP,Participants2,A34,InsitutionP,A29),"")</f>
        <v>0</v>
      </c>
      <c r="F34" s="244">
        <f>IFERROR(SUMIFS(FourthYearP,Participants2,A34,InsitutionP,A29),"")</f>
        <v>0</v>
      </c>
      <c r="G34" s="244">
        <f>IFERROR(SUMIFS(FifthYearP,Participants2,A34,InsitutionP,A29),"")</f>
        <v>0</v>
      </c>
      <c r="H34" s="244">
        <f>IFERROR(SUMIFS(SixthYearP,Participants2,A34,InsitutionP,A29),"")</f>
        <v>0</v>
      </c>
      <c r="I34" s="244">
        <f>IFERROR(SUMIFS(SeventhYearP,Participants2,A34,InsitutionP,A29),"")</f>
        <v>0</v>
      </c>
      <c r="J34" s="367">
        <f>IFERROR(SUMIFS(EighthYearP,Participants2,A34,InsitutionP,A29),"")</f>
        <v>0</v>
      </c>
      <c r="K34" s="367">
        <f>IFERROR(SUMIFS(NinthYearP,Participants2,A34,InsitutionP,A29),"")</f>
        <v>0</v>
      </c>
      <c r="L34" s="247">
        <f>IFERROR(SUMIFS(CoFinancingP,Participants2,A34,InsitutionP,A29),"")</f>
        <v>0</v>
      </c>
      <c r="M34" s="248">
        <f>IFERROR(SUMIFS(OtherP,Participants2,A34,InsitutionP,A29),"")</f>
        <v>0</v>
      </c>
      <c r="O34" s="176" t="s">
        <v>799</v>
      </c>
      <c r="P34" s="336" t="str">
        <f t="shared" si="53"/>
        <v/>
      </c>
      <c r="Q34" s="244">
        <f>IFERROR(SUMIFS(FirstYearP,Participants2,O34,InsitutionP,O29),"")</f>
        <v>0</v>
      </c>
      <c r="R34" s="244">
        <f>IFERROR(SUMIFS(SecondYearP,Participants2,O34,InsitutionP,O29),"")</f>
        <v>0</v>
      </c>
      <c r="S34" s="244">
        <f>IFERROR(SUMIFS(ThirdYearP,Participants2,O34,InsitutionP,O29),"")</f>
        <v>0</v>
      </c>
      <c r="T34" s="244">
        <f>IFERROR(SUMIFS(FourthYearP,Participants2,O34,InsitutionP,O29),"")</f>
        <v>0</v>
      </c>
      <c r="U34" s="244">
        <f>IFERROR(SUMIFS(FifthYearP,Participants2,O34,InsitutionP,O29),"")</f>
        <v>0</v>
      </c>
      <c r="V34" s="244">
        <f>IFERROR(SUMIFS(SixthYearP,Participants2,O34,InsitutionP,O29),"")</f>
        <v>0</v>
      </c>
      <c r="W34" s="244">
        <f>IFERROR(SUMIFS(SeventhYearP,Participants2,O34,InsitutionP,O29),"")</f>
        <v>0</v>
      </c>
      <c r="X34" s="367">
        <f>IFERROR(SUMIFS(EighthYearP,Participants2,O34,InsitutionP,O29),"")</f>
        <v>0</v>
      </c>
      <c r="Y34" s="367">
        <f>IFERROR(SUMIFS(NinthYearP,Participants2,O34,InsitutionP,O29),"")</f>
        <v>0</v>
      </c>
      <c r="Z34" s="247">
        <f>IFERROR(SUMIFS(CoFinancingP,Participants2,O34,InsitutionP,O29),"")</f>
        <v>0</v>
      </c>
      <c r="AA34" s="248">
        <f>IFERROR(SUMIFS(OtherP,Participants2,O34,InsitutionP,O29),"")</f>
        <v>0</v>
      </c>
    </row>
    <row r="35" spans="1:27" x14ac:dyDescent="0.25">
      <c r="A35" s="177" t="s">
        <v>786</v>
      </c>
      <c r="B35" s="334" t="str">
        <f t="shared" si="52"/>
        <v/>
      </c>
      <c r="C35" s="212" t="str">
        <f>IFERROR(IF(SUM(C31:C34)=0, "", SUM(C31:C34)),"")</f>
        <v/>
      </c>
      <c r="D35" s="212" t="str">
        <f t="shared" ref="D35" si="54">IFERROR(IF(SUM(D31:D34)=0, "", SUM(D31:D34)),"")</f>
        <v/>
      </c>
      <c r="E35" s="212" t="str">
        <f t="shared" ref="E35" si="55">IFERROR(IF(SUM(E31:E34)=0, "", SUM(E31:E34)),"")</f>
        <v/>
      </c>
      <c r="F35" s="212" t="str">
        <f t="shared" ref="F35" si="56">IFERROR(IF(SUM(F31:F34)=0, "", SUM(F31:F34)),"")</f>
        <v/>
      </c>
      <c r="G35" s="212" t="str">
        <f t="shared" ref="G35" si="57">IFERROR(IF(SUM(G31:G34)=0, "", SUM(G31:G34)),"")</f>
        <v/>
      </c>
      <c r="H35" s="212" t="str">
        <f t="shared" ref="H35" si="58">IFERROR(IF(SUM(H31:H34)=0, "", SUM(H31:H34)),"")</f>
        <v/>
      </c>
      <c r="I35" s="212" t="str">
        <f t="shared" ref="I35:K35" si="59">IFERROR(IF(SUM(I31:I34)=0, "", SUM(I31:I34)),"")</f>
        <v/>
      </c>
      <c r="J35" s="365" t="str">
        <f t="shared" si="59"/>
        <v/>
      </c>
      <c r="K35" s="365" t="str">
        <f t="shared" si="59"/>
        <v/>
      </c>
      <c r="L35" s="223" t="str">
        <f>IFERROR(IF(SUM(L31:L34)=0, "", SUM(L31:L34)),"")</f>
        <v/>
      </c>
      <c r="M35" s="224" t="str">
        <f>IFERROR(IF(SUM(M31:M34)=0, "", SUM(M31:M34)),"")</f>
        <v/>
      </c>
      <c r="O35" s="177" t="s">
        <v>786</v>
      </c>
      <c r="P35" s="334" t="str">
        <f t="shared" si="53"/>
        <v/>
      </c>
      <c r="Q35" s="212" t="str">
        <f>IFERROR(IF(SUM(Q31:Q34)=0, "", SUM(Q31:Q34)),"")</f>
        <v/>
      </c>
      <c r="R35" s="212" t="str">
        <f t="shared" ref="R35" si="60">IFERROR(IF(SUM(R31:R34)=0, "", SUM(R31:R34)),"")</f>
        <v/>
      </c>
      <c r="S35" s="212" t="str">
        <f t="shared" ref="S35" si="61">IFERROR(IF(SUM(S31:S34)=0, "", SUM(S31:S34)),"")</f>
        <v/>
      </c>
      <c r="T35" s="212" t="str">
        <f t="shared" ref="T35" si="62">IFERROR(IF(SUM(T31:T34)=0, "", SUM(T31:T34)),"")</f>
        <v/>
      </c>
      <c r="U35" s="212" t="str">
        <f t="shared" ref="U35" si="63">IFERROR(IF(SUM(U31:U34)=0, "", SUM(U31:U34)),"")</f>
        <v/>
      </c>
      <c r="V35" s="212" t="str">
        <f t="shared" ref="V35" si="64">IFERROR(IF(SUM(V31:V34)=0, "", SUM(V31:V34)),"")</f>
        <v/>
      </c>
      <c r="W35" s="212" t="str">
        <f t="shared" ref="W35:Y35" si="65">IFERROR(IF(SUM(W31:W34)=0, "", SUM(W31:W34)),"")</f>
        <v/>
      </c>
      <c r="X35" s="365" t="str">
        <f t="shared" si="65"/>
        <v/>
      </c>
      <c r="Y35" s="365" t="str">
        <f t="shared" si="65"/>
        <v/>
      </c>
      <c r="Z35" s="223" t="str">
        <f>IFERROR(IF(SUM(Z31:Z34)=0, "", SUM(Z31:Z34)),"")</f>
        <v/>
      </c>
      <c r="AA35" s="224" t="str">
        <f>IFERROR(IF(SUM(AA31:AA34)=0, "", SUM(AA31:AA34)),"")</f>
        <v/>
      </c>
    </row>
    <row r="36" spans="1:27" ht="25.5" x14ac:dyDescent="0.25">
      <c r="A36" s="178" t="s">
        <v>850</v>
      </c>
      <c r="B36" s="337" t="str">
        <f t="shared" si="52"/>
        <v/>
      </c>
      <c r="C36" s="218">
        <f>IFERROR(SUMIFS(FirstYearP,Participants2,A36,InsitutionP,A29),"")</f>
        <v>0</v>
      </c>
      <c r="D36" s="218">
        <f>IFERROR(SUMIFS(SecondYearP,Participants2,A36,InsitutionP,A29),"")</f>
        <v>0</v>
      </c>
      <c r="E36" s="218">
        <f>IFERROR(SUMIFS(ThirdYearP,Participants2,A36,InsitutionP,A29),"")</f>
        <v>0</v>
      </c>
      <c r="F36" s="218">
        <f>IFERROR(SUMIFS(FourthYearP,Participants2,A36,InsitutionP,A29),"")</f>
        <v>0</v>
      </c>
      <c r="G36" s="219">
        <f>IFERROR(SUMIFS(FifthYearP,Participants2,A36,InsitutionP,A29),"")</f>
        <v>0</v>
      </c>
      <c r="H36" s="219">
        <f>IFERROR(SUMIFS(SixthYearP,Participants2,A36,InsitutionP,A29),"")</f>
        <v>0</v>
      </c>
      <c r="I36" s="220">
        <f>IFERROR(SUMIFS(SeventhYearP,Participants2,A36,InsitutionP,A29),"")</f>
        <v>0</v>
      </c>
      <c r="J36" s="219">
        <f>IFERROR(SUMIFS(EighthYearP,Participants2,A36,InsitutionP,A29),"")</f>
        <v>0</v>
      </c>
      <c r="K36" s="219">
        <f>IFERROR(SUMIFS(NinthYearP,Participants2,A36,InsitutionP,A29),"")</f>
        <v>0</v>
      </c>
      <c r="L36" s="221">
        <f>IFERROR(SUMIFS(CoFinancingP,Participants2,A36,InsitutionP,A29),"")</f>
        <v>0</v>
      </c>
      <c r="M36" s="222">
        <f>IFERROR(SUMIFS(OtherP,Participants2,A36,InsitutionP,A29),"")</f>
        <v>0</v>
      </c>
      <c r="O36" s="178" t="s">
        <v>850</v>
      </c>
      <c r="P36" s="337" t="str">
        <f t="shared" si="53"/>
        <v/>
      </c>
      <c r="Q36" s="218">
        <f>IFERROR(SUMIFS(FirstYearP,Participants2,O36,InsitutionP,O29),"")</f>
        <v>0</v>
      </c>
      <c r="R36" s="218">
        <f>IFERROR(SUMIFS(SecondYearP,Participants2,O36,InsitutionP,O29),"")</f>
        <v>0</v>
      </c>
      <c r="S36" s="218">
        <f>IFERROR(SUMIFS(ThirdYearP,Participants2,O36,InsitutionP,O29),"")</f>
        <v>0</v>
      </c>
      <c r="T36" s="218">
        <f>IFERROR(SUMIFS(FourthYearP,Participants2,O36,InsitutionP,O29),"")</f>
        <v>0</v>
      </c>
      <c r="U36" s="219">
        <f>IFERROR(SUMIFS(FifthYearP,Participants2,O36,InsitutionP,O29),"")</f>
        <v>0</v>
      </c>
      <c r="V36" s="219">
        <f>IFERROR(SUMIFS(SixthYearP,Participants2,O36,InsitutionP,O29),"")</f>
        <v>0</v>
      </c>
      <c r="W36" s="220">
        <f>IFERROR(SUMIFS(SeventhYearP,Participants2,O36,InsitutionP,O29),"")</f>
        <v>0</v>
      </c>
      <c r="X36" s="219">
        <f>IFERROR(SUMIFS(EighthYearP,Participants2,O36,InsitutionP,O29),"")</f>
        <v>0</v>
      </c>
      <c r="Y36" s="219">
        <f>IFERROR(SUMIFS(NinthYearP,Participants2,O36,InsitutionP,O29),"")</f>
        <v>0</v>
      </c>
      <c r="Z36" s="221">
        <f>IFERROR(SUMIFS(CoFinancingP,Participants2,O36,InsitutionP,O29),"")</f>
        <v>0</v>
      </c>
      <c r="AA36" s="222">
        <f>IFERROR(SUMIFS(OtherP,Participants2,O36,InsitutionP,O29),"")</f>
        <v>0</v>
      </c>
    </row>
    <row r="37" spans="1:27" x14ac:dyDescent="0.25">
      <c r="A37" s="178" t="s">
        <v>29</v>
      </c>
      <c r="B37" s="217" t="str">
        <f t="shared" si="52"/>
        <v/>
      </c>
      <c r="C37" s="218">
        <f>IFERROR(SUMIFS(FirstYearE,Expenses,A37,InsitutionE,A29),"")</f>
        <v>0</v>
      </c>
      <c r="D37" s="218">
        <f>IFERROR(SUMIFS(SecondYearE,Expenses,A37,InsitutionE,A29),"")</f>
        <v>0</v>
      </c>
      <c r="E37" s="218">
        <f>IFERROR(SUMIFS(ThirdYearE,Expenses,A37,InsitutionE,A29),"")</f>
        <v>0</v>
      </c>
      <c r="F37" s="218">
        <f>IFERROR(SUMIFS(FourthYearE,Expenses,A37,InsitutionE,A29),"")</f>
        <v>0</v>
      </c>
      <c r="G37" s="219">
        <f>IFERROR(SUMIFS(FifthYearE,Expenses,A37,InsitutionE,A29),"")</f>
        <v>0</v>
      </c>
      <c r="H37" s="219">
        <f>IFERROR(SUMIFS(SixthYearE,Expenses,A37,InsitutionE,A29),"")</f>
        <v>0</v>
      </c>
      <c r="I37" s="220">
        <f>IFERROR(SUMIFS(SeventhYearE,Expenses,A37,InsitutionE,A29),"")</f>
        <v>0</v>
      </c>
      <c r="J37" s="219">
        <f>IFERROR(SUMIFS(EightYearE,Expenses,A37,InsitutionE,A29),"")</f>
        <v>0</v>
      </c>
      <c r="K37" s="219">
        <f>IFERROR(SUMIFS(NinthYearE,Expenses,A37,InsitutionE,A29),"")</f>
        <v>0</v>
      </c>
      <c r="L37" s="221">
        <f>IFERROR(SUMIFS(CoFinancingE,Expenses,A37,InsitutionE,A29),"")</f>
        <v>0</v>
      </c>
      <c r="M37" s="222">
        <f>IFERROR(SUMIFS(OtherE,Expenses,A37,InsitutionE,A29),"")</f>
        <v>0</v>
      </c>
      <c r="O37" s="178" t="s">
        <v>29</v>
      </c>
      <c r="P37" s="217" t="str">
        <f t="shared" si="53"/>
        <v/>
      </c>
      <c r="Q37" s="218">
        <f>IFERROR(SUMIFS(FirstYearE,Expenses,O37,InsitutionE,O29),"")</f>
        <v>0</v>
      </c>
      <c r="R37" s="218">
        <f>IFERROR(SUMIFS(SecondYearE,Expenses,O37,InsitutionE,O29),"")</f>
        <v>0</v>
      </c>
      <c r="S37" s="218">
        <f>IFERROR(SUMIFS(ThirdYearE,Expenses,O37,InsitutionE,O29),"")</f>
        <v>0</v>
      </c>
      <c r="T37" s="218">
        <f>IFERROR(SUMIFS(FourthYearE,Expenses,O37,InsitutionE,O29),"")</f>
        <v>0</v>
      </c>
      <c r="U37" s="219">
        <f>IFERROR(SUMIFS(FifthYearE,Expenses,O37,InsitutionE,O29),"")</f>
        <v>0</v>
      </c>
      <c r="V37" s="219">
        <f>IFERROR(SUMIFS(SixthYearE,Expenses,O37,InsitutionE,O29),"")</f>
        <v>0</v>
      </c>
      <c r="W37" s="220">
        <f>IFERROR(SUMIFS(SeventhYearE,Expenses,O37,InsitutionE,O29),"")</f>
        <v>0</v>
      </c>
      <c r="X37" s="219">
        <f>IFERROR(SUMIFS(EightYearE,Expenses,O37,InsitutionE,O29),"")</f>
        <v>0</v>
      </c>
      <c r="Y37" s="219">
        <f>IFERROR(SUMIFS(NinthYearE,Expenses,O37,InsitutionE,O29),"")</f>
        <v>0</v>
      </c>
      <c r="Z37" s="221">
        <f>IFERROR(SUMIFS(CoFinancingE,Expenses,O37,InsitutionE,O29),"")</f>
        <v>0</v>
      </c>
      <c r="AA37" s="222">
        <f>IFERROR(SUMIFS(OtherE,Expenses,O37,InsitutionE,O29),"")</f>
        <v>0</v>
      </c>
    </row>
    <row r="38" spans="1:27" ht="15.75" thickBot="1" x14ac:dyDescent="0.3">
      <c r="A38" s="178" t="s">
        <v>39</v>
      </c>
      <c r="B38" s="217" t="str">
        <f t="shared" si="52"/>
        <v/>
      </c>
      <c r="C38" s="218">
        <f>IFERROR(SUMIFS(FirstYearE,Expenses,A38,InsitutionE,A29),"")</f>
        <v>0</v>
      </c>
      <c r="D38" s="218">
        <f>IFERROR(SUMIFS(SecondYearE,Expenses,A38,InsitutionE,A29),"")</f>
        <v>0</v>
      </c>
      <c r="E38" s="218">
        <f>IFERROR(SUMIFS(ThirdYearE,Expenses,A38,InsitutionE,A29),"")</f>
        <v>0</v>
      </c>
      <c r="F38" s="218">
        <f>IFERROR(SUMIFS(FourthYearE,Expenses,A38,InsitutionE,A29),"")</f>
        <v>0</v>
      </c>
      <c r="G38" s="219">
        <f>IFERROR(SUMIFS(FifthYearE,Expenses,A38,InsitutionE,A29),"")</f>
        <v>0</v>
      </c>
      <c r="H38" s="219">
        <f>IFERROR(SUMIFS(SixthYearE,Expenses,A38,InsitutionE,A29),"")</f>
        <v>0</v>
      </c>
      <c r="I38" s="220">
        <f>IFERROR(SUMIFS(SeventhYearE,Expenses,A38,InsitutionE,A29),"")</f>
        <v>0</v>
      </c>
      <c r="J38" s="219">
        <f>IFERROR(SUMIFS(EightYearE,Expenses,A38,InsitutionE,A29),"")</f>
        <v>0</v>
      </c>
      <c r="K38" s="219">
        <f>IFERROR(SUMIFS(NinthYearE,Expenses,A38,InsitutionE,A29),"")</f>
        <v>0</v>
      </c>
      <c r="L38" s="221">
        <f>IFERROR(SUMIFS(CoFinancingE,Expenses,A38,InsitutionE,A29),"")</f>
        <v>0</v>
      </c>
      <c r="M38" s="222">
        <f>IFERROR(SUMIFS(OtherE,Expenses,A38,InsitutionE,A29),"")</f>
        <v>0</v>
      </c>
      <c r="O38" s="178" t="s">
        <v>39</v>
      </c>
      <c r="P38" s="217" t="str">
        <f t="shared" si="53"/>
        <v/>
      </c>
      <c r="Q38" s="218">
        <f>IFERROR(SUMIFS(FirstYearE,Expenses,O38,InsitutionE,O29),"")</f>
        <v>0</v>
      </c>
      <c r="R38" s="218">
        <f>IFERROR(SUMIFS(SecondYearE,Expenses,O38,InsitutionE,O29),"")</f>
        <v>0</v>
      </c>
      <c r="S38" s="218">
        <f>IFERROR(SUMIFS(ThirdYearE,Expenses,O38,InsitutionE,O29),"")</f>
        <v>0</v>
      </c>
      <c r="T38" s="218">
        <f>IFERROR(SUMIFS(FourthYearE,Expenses,O38,InsitutionE,O29),"")</f>
        <v>0</v>
      </c>
      <c r="U38" s="219">
        <f>IFERROR(SUMIFS(FifthYearE,Expenses,O38,InsitutionE,O29),"")</f>
        <v>0</v>
      </c>
      <c r="V38" s="219">
        <f>IFERROR(SUMIFS(SixthYearE,Expenses,O38,InsitutionE,O29),"")</f>
        <v>0</v>
      </c>
      <c r="W38" s="220">
        <f>IFERROR(SUMIFS(SeventhYearE,Expenses,O38,InsitutionE,O29),"")</f>
        <v>0</v>
      </c>
      <c r="X38" s="219">
        <f>IFERROR(SUMIFS(EightYearE,Expenses,O38,InsitutionE,O29),"")</f>
        <v>0</v>
      </c>
      <c r="Y38" s="219">
        <f>IFERROR(SUMIFS(NinthYearE,Expenses,O38,InsitutionE,O29),"")</f>
        <v>0</v>
      </c>
      <c r="Z38" s="221">
        <f>IFERROR(SUMIFS(CoFinancingE,Expenses,O38,InsitutionE,O29),"")</f>
        <v>0</v>
      </c>
      <c r="AA38" s="222">
        <f>IFERROR(SUMIFS(OtherE,Expenses,O38,InsitutionE,O29),"")</f>
        <v>0</v>
      </c>
    </row>
    <row r="39" spans="1:27" ht="15.75" thickBot="1" x14ac:dyDescent="0.3">
      <c r="A39" s="177" t="s">
        <v>817</v>
      </c>
      <c r="B39" s="338" t="str">
        <f t="shared" si="52"/>
        <v/>
      </c>
      <c r="C39" s="212" t="str">
        <f>IFERROR(IF(SUM(C35:C38)=0, "", ROUND(SUM(C35:C38),0)),"")</f>
        <v/>
      </c>
      <c r="D39" s="365" t="str">
        <f t="shared" ref="D39:H39" si="66">IFERROR(IF(SUM(D35:D38)=0, "", ROUND(SUM(D35:D38),0)),"")</f>
        <v/>
      </c>
      <c r="E39" s="365" t="str">
        <f t="shared" si="66"/>
        <v/>
      </c>
      <c r="F39" s="365" t="str">
        <f t="shared" si="66"/>
        <v/>
      </c>
      <c r="G39" s="365" t="str">
        <f t="shared" si="66"/>
        <v/>
      </c>
      <c r="H39" s="365" t="str">
        <f t="shared" si="66"/>
        <v/>
      </c>
      <c r="I39" s="365" t="str">
        <f>IFERROR(IF(SUM(I35:I38)=0, "", ROUND(SUM(I35:I38),0)),"")</f>
        <v/>
      </c>
      <c r="J39" s="365" t="str">
        <f t="shared" ref="J39:K39" si="67">IFERROR(IF(SUM(J35:J38)=0, "", ROUND(SUM(J35:J38),0)),"")</f>
        <v/>
      </c>
      <c r="K39" s="365" t="str">
        <f t="shared" si="67"/>
        <v/>
      </c>
      <c r="L39" s="225" t="str">
        <f>IFERROR(IF(SUM(L35:L38)=0, "", ROUND(SUM(L35:L38),0)),"")</f>
        <v/>
      </c>
      <c r="M39" s="226" t="str">
        <f>IFERROR(IF(SUM(M35:M38)=0, "", ROUND(SUM(M35:M38),0)),"")</f>
        <v/>
      </c>
      <c r="O39" s="177" t="s">
        <v>817</v>
      </c>
      <c r="P39" s="338" t="str">
        <f t="shared" si="53"/>
        <v/>
      </c>
      <c r="Q39" s="212" t="str">
        <f>IFERROR(IF(SUM(Q35:Q38)=0, "", ROUND(SUM(Q35:Q38),0)),"")</f>
        <v/>
      </c>
      <c r="R39" s="365" t="str">
        <f t="shared" ref="R39:V39" si="68">IFERROR(IF(SUM(R35:R38)=0, "", ROUND(SUM(R35:R38),0)),"")</f>
        <v/>
      </c>
      <c r="S39" s="365" t="str">
        <f t="shared" si="68"/>
        <v/>
      </c>
      <c r="T39" s="365" t="str">
        <f t="shared" si="68"/>
        <v/>
      </c>
      <c r="U39" s="365" t="str">
        <f t="shared" si="68"/>
        <v/>
      </c>
      <c r="V39" s="365" t="str">
        <f t="shared" si="68"/>
        <v/>
      </c>
      <c r="W39" s="365" t="str">
        <f>IFERROR(IF(SUM(W35:W38)=0, "", ROUND(SUM(W35:W38),0)),"")</f>
        <v/>
      </c>
      <c r="X39" s="365" t="str">
        <f t="shared" ref="X39:Y39" si="69">IFERROR(IF(SUM(X35:X38)=0, "", ROUND(SUM(X35:X38),0)),"")</f>
        <v/>
      </c>
      <c r="Y39" s="365" t="str">
        <f t="shared" si="69"/>
        <v/>
      </c>
      <c r="Z39" s="225" t="str">
        <f>IFERROR(IF(SUM(Z35:Z38)=0, "", ROUND(SUM(Z35:Z38),0)),"")</f>
        <v/>
      </c>
      <c r="AA39" s="226" t="str">
        <f>IFERROR(IF(SUM(AA35:AA38)=0, "", ROUND(SUM(AA35:AA38),0)),"")</f>
        <v/>
      </c>
    </row>
    <row r="40" spans="1:27" ht="15.75" thickBot="1" x14ac:dyDescent="0.3">
      <c r="A40" s="178" t="s">
        <v>13</v>
      </c>
      <c r="B40" s="339" t="str">
        <f t="shared" si="52"/>
        <v/>
      </c>
      <c r="C40" s="341" t="str">
        <f>IFERROR(IF(Budget!$K$14="", "",ROUND(Budget!$K$14*C39,0)),"")</f>
        <v/>
      </c>
      <c r="D40" s="341" t="str">
        <f>IFERROR(IF(Budget!$K$14="", "",ROUND(Budget!$K$14*D39,0)),"")</f>
        <v/>
      </c>
      <c r="E40" s="341" t="str">
        <f>IFERROR(IF(Budget!$K$14="", "",ROUND(Budget!$K$14*E39,0)),"")</f>
        <v/>
      </c>
      <c r="F40" s="341" t="str">
        <f>IFERROR(IF(Budget!$K$14="", "",ROUND(Budget!$K$14*F39,0)),"")</f>
        <v/>
      </c>
      <c r="G40" s="341" t="str">
        <f>IFERROR(IF(Budget!$K$14="", "",ROUND(Budget!$K$14*G39,0)),"")</f>
        <v/>
      </c>
      <c r="H40" s="341" t="str">
        <f>IFERROR(IF(Budget!$K$14="", "",ROUND(Budget!$K$14*H39,0)),"")</f>
        <v/>
      </c>
      <c r="I40" s="416" t="str">
        <f>IFERROR(IF(Budget!$K$14="", "",ROUND(Budget!$K$14*I39,0)),"")</f>
        <v/>
      </c>
      <c r="J40" s="422" t="str">
        <f>IFERROR(IF(Budget!$K$14="", "",ROUND(Budget!$K$14*J39,0)),"")</f>
        <v/>
      </c>
      <c r="K40" s="423" t="str">
        <f>IFERROR(IF(Budget!$K$14="", "",ROUND(Budget!$K$14*K39,0)),"")</f>
        <v/>
      </c>
      <c r="L40" s="227"/>
      <c r="M40" s="227"/>
      <c r="O40" s="178" t="s">
        <v>13</v>
      </c>
      <c r="P40" s="339" t="str">
        <f t="shared" si="53"/>
        <v/>
      </c>
      <c r="Q40" s="341" t="str">
        <f>IFERROR(IF(Budget!$M$14="", "",ROUND(Budget!$M$14*Q39,0)),"")</f>
        <v/>
      </c>
      <c r="R40" s="341" t="str">
        <f>IFERROR(IF(Budget!$M$14="", "",ROUND(Budget!$M$14*R39,0)),"")</f>
        <v/>
      </c>
      <c r="S40" s="341" t="str">
        <f>IFERROR(IF(Budget!$M$14="", "",ROUND(Budget!$M$14*S39,0)),"")</f>
        <v/>
      </c>
      <c r="T40" s="341" t="str">
        <f>IFERROR(IF(Budget!$M$14="", "",ROUND(Budget!$M$14*T39,0)),"")</f>
        <v/>
      </c>
      <c r="U40" s="341" t="str">
        <f>IFERROR(IF(Budget!$M$14="", "",ROUND(Budget!$M$14*U39,0)),"")</f>
        <v/>
      </c>
      <c r="V40" s="341" t="str">
        <f>IFERROR(IF(Budget!$M$14="", "",ROUND(Budget!$M$14*V39,0)),"")</f>
        <v/>
      </c>
      <c r="W40" s="416" t="str">
        <f>IFERROR(IF(Budget!$M$14="", "",ROUND(Budget!$M$14*W39,0)),"")</f>
        <v/>
      </c>
      <c r="X40" s="422" t="str">
        <f>IFERROR(IF(Budget!$M$14="", "",ROUND(Budget!$M$14*X39,0)),"")</f>
        <v/>
      </c>
      <c r="Y40" s="423" t="str">
        <f>IFERROR(IF(Budget!$M$14="", "",ROUND(Budget!$M$14*Y39,0)),"")</f>
        <v/>
      </c>
      <c r="Z40" s="227"/>
      <c r="AA40" s="227"/>
    </row>
    <row r="41" spans="1:27" ht="15.75" thickBot="1" x14ac:dyDescent="0.3">
      <c r="A41" s="179" t="s">
        <v>809</v>
      </c>
      <c r="B41" s="340" t="str">
        <f t="shared" si="52"/>
        <v/>
      </c>
      <c r="C41" s="228" t="str">
        <f>IFERROR(IF(SUM(C39:C40)=0, "", SUM(C39:C40)),"")</f>
        <v/>
      </c>
      <c r="D41" s="228" t="str">
        <f t="shared" ref="D41" si="70">IFERROR(IF(SUM(D39:D40)=0, "", SUM(D39:D40)),"")</f>
        <v/>
      </c>
      <c r="E41" s="228" t="str">
        <f t="shared" ref="E41" si="71">IFERROR(IF(SUM(E39:E40)=0, "", SUM(E39:E40)),"")</f>
        <v/>
      </c>
      <c r="F41" s="228" t="str">
        <f t="shared" ref="F41" si="72">IFERROR(IF(SUM(F39:F40)=0, "", SUM(F39:F40)),"")</f>
        <v/>
      </c>
      <c r="G41" s="228" t="str">
        <f t="shared" ref="G41" si="73">IFERROR(IF(SUM(G39:G40)=0, "", SUM(G39:G40)),"")</f>
        <v/>
      </c>
      <c r="H41" s="228" t="str">
        <f t="shared" ref="H41" si="74">IFERROR(IF(SUM(H39:H40)=0, "", SUM(H39:H40)),"")</f>
        <v/>
      </c>
      <c r="I41" s="229" t="str">
        <f t="shared" ref="I41:K41" si="75">IFERROR(IF(SUM(I39:I40)=0, "", SUM(I39:I40)),"")</f>
        <v/>
      </c>
      <c r="J41" s="379" t="str">
        <f t="shared" si="75"/>
        <v/>
      </c>
      <c r="K41" s="418" t="str">
        <f t="shared" si="75"/>
        <v/>
      </c>
      <c r="L41" s="227"/>
      <c r="M41" s="227"/>
      <c r="O41" s="179" t="s">
        <v>809</v>
      </c>
      <c r="P41" s="340" t="str">
        <f t="shared" si="53"/>
        <v/>
      </c>
      <c r="Q41" s="228" t="str">
        <f>IFERROR(IF(SUM(Q39:Q40)=0, "", SUM(Q39:Q40)),"")</f>
        <v/>
      </c>
      <c r="R41" s="228" t="str">
        <f t="shared" ref="R41" si="76">IFERROR(IF(SUM(R39:R40)=0, "", SUM(R39:R40)),"")</f>
        <v/>
      </c>
      <c r="S41" s="228" t="str">
        <f t="shared" ref="S41" si="77">IFERROR(IF(SUM(S39:S40)=0, "", SUM(S39:S40)),"")</f>
        <v/>
      </c>
      <c r="T41" s="228" t="str">
        <f t="shared" ref="T41" si="78">IFERROR(IF(SUM(T39:T40)=0, "", SUM(T39:T40)),"")</f>
        <v/>
      </c>
      <c r="U41" s="228" t="str">
        <f t="shared" ref="U41" si="79">IFERROR(IF(SUM(U39:U40)=0, "", SUM(U39:U40)),"")</f>
        <v/>
      </c>
      <c r="V41" s="228" t="str">
        <f t="shared" ref="V41" si="80">IFERROR(IF(SUM(V39:V40)=0, "", SUM(V39:V40)),"")</f>
        <v/>
      </c>
      <c r="W41" s="229" t="str">
        <f t="shared" ref="W41:Y41" si="81">IFERROR(IF(SUM(W39:W40)=0, "", SUM(W39:W40)),"")</f>
        <v/>
      </c>
      <c r="X41" s="379" t="str">
        <f t="shared" si="81"/>
        <v/>
      </c>
      <c r="Y41" s="418" t="str">
        <f t="shared" si="81"/>
        <v/>
      </c>
      <c r="Z41" s="227"/>
      <c r="AA41" s="227"/>
    </row>
    <row r="42" spans="1:27" ht="15.75" thickBot="1" x14ac:dyDescent="0.3"/>
    <row r="43" spans="1:27" ht="19.5" thickBot="1" x14ac:dyDescent="0.35">
      <c r="A43" s="512" t="s">
        <v>634</v>
      </c>
      <c r="B43" s="513"/>
      <c r="C43" s="513"/>
      <c r="D43" s="513"/>
      <c r="E43" s="513"/>
      <c r="F43" s="513"/>
      <c r="G43" s="513"/>
      <c r="H43" s="513"/>
      <c r="I43" s="513"/>
      <c r="J43" s="513"/>
      <c r="K43" s="513"/>
      <c r="L43" s="513"/>
      <c r="M43" s="514"/>
      <c r="O43" s="512" t="s">
        <v>635</v>
      </c>
      <c r="P43" s="513"/>
      <c r="Q43" s="513"/>
      <c r="R43" s="513"/>
      <c r="S43" s="513"/>
      <c r="T43" s="513"/>
      <c r="U43" s="513"/>
      <c r="V43" s="513"/>
      <c r="W43" s="513"/>
      <c r="X43" s="513"/>
      <c r="Y43" s="513"/>
      <c r="Z43" s="513"/>
      <c r="AA43" s="514"/>
    </row>
    <row r="44" spans="1:27" ht="26.25" thickBot="1" x14ac:dyDescent="0.3">
      <c r="A44" s="130" t="s">
        <v>825</v>
      </c>
      <c r="B44" s="388" t="s">
        <v>688</v>
      </c>
      <c r="C44" s="390">
        <f>FirstYear</f>
        <v>2021</v>
      </c>
      <c r="D44" s="390">
        <f>FirstYear+1</f>
        <v>2022</v>
      </c>
      <c r="E44" s="390">
        <f>FirstYear+2</f>
        <v>2023</v>
      </c>
      <c r="F44" s="390">
        <f>FirstYear+3</f>
        <v>2024</v>
      </c>
      <c r="G44" s="390">
        <f>FirstYear+4</f>
        <v>2025</v>
      </c>
      <c r="H44" s="390">
        <f>FirstYear+5</f>
        <v>2026</v>
      </c>
      <c r="I44" s="390">
        <f>FirstYear+6</f>
        <v>2027</v>
      </c>
      <c r="J44" s="390">
        <f>FirstYear+7</f>
        <v>2028</v>
      </c>
      <c r="K44" s="390">
        <f>FirstYear+8</f>
        <v>2029</v>
      </c>
      <c r="L44" s="391" t="s">
        <v>15</v>
      </c>
      <c r="M44" s="392" t="s">
        <v>689</v>
      </c>
      <c r="O44" s="130" t="s">
        <v>825</v>
      </c>
      <c r="P44" s="388" t="s">
        <v>688</v>
      </c>
      <c r="Q44" s="390">
        <f>FirstYear</f>
        <v>2021</v>
      </c>
      <c r="R44" s="390">
        <f>FirstYear+1</f>
        <v>2022</v>
      </c>
      <c r="S44" s="390">
        <f>FirstYear+2</f>
        <v>2023</v>
      </c>
      <c r="T44" s="390">
        <f>FirstYear+3</f>
        <v>2024</v>
      </c>
      <c r="U44" s="390">
        <f>FirstYear+4</f>
        <v>2025</v>
      </c>
      <c r="V44" s="390">
        <f>FirstYear+5</f>
        <v>2026</v>
      </c>
      <c r="W44" s="390">
        <f>FirstYear+6</f>
        <v>2027</v>
      </c>
      <c r="X44" s="390">
        <f>FirstYear+7</f>
        <v>2028</v>
      </c>
      <c r="Y44" s="390">
        <f>FirstYear+8</f>
        <v>2029</v>
      </c>
      <c r="Z44" s="391" t="s">
        <v>15</v>
      </c>
      <c r="AA44" s="392" t="s">
        <v>689</v>
      </c>
    </row>
    <row r="45" spans="1:27" x14ac:dyDescent="0.25">
      <c r="A45" s="175" t="s">
        <v>783</v>
      </c>
      <c r="B45" s="334"/>
      <c r="C45" s="212"/>
      <c r="D45" s="212"/>
      <c r="E45" s="212"/>
      <c r="F45" s="212"/>
      <c r="G45" s="213"/>
      <c r="H45" s="213"/>
      <c r="I45" s="214"/>
      <c r="J45" s="213"/>
      <c r="K45" s="213"/>
      <c r="L45" s="215"/>
      <c r="M45" s="216"/>
      <c r="O45" s="175" t="s">
        <v>783</v>
      </c>
      <c r="P45" s="334"/>
      <c r="Q45" s="212"/>
      <c r="R45" s="212"/>
      <c r="S45" s="212"/>
      <c r="T45" s="212"/>
      <c r="U45" s="213"/>
      <c r="V45" s="213"/>
      <c r="W45" s="214"/>
      <c r="X45" s="213"/>
      <c r="Y45" s="213"/>
      <c r="Z45" s="215"/>
      <c r="AA45" s="216"/>
    </row>
    <row r="46" spans="1:27" x14ac:dyDescent="0.25">
      <c r="A46" s="243" t="s">
        <v>798</v>
      </c>
      <c r="B46" s="335" t="str">
        <f t="shared" ref="B46:B55" si="82">IFERROR(IF(SUM(C46:K46)=0, "", SUM(C46:K46)),"")</f>
        <v/>
      </c>
      <c r="C46" s="244">
        <f>IFERROR(SUMIFS(FirstYearP,Participants2,A46,InsitutionP,A43),"")</f>
        <v>0</v>
      </c>
      <c r="D46" s="244">
        <f>IFERROR(SUMIFS(SecondYearP,Participants2,A46,InsitutionP,A43),"")</f>
        <v>0</v>
      </c>
      <c r="E46" s="244">
        <f>IFERROR(SUMIFS(ThirdYearP,Participants2,A46,InsitutionP,A43),"")</f>
        <v>0</v>
      </c>
      <c r="F46" s="244">
        <f>IFERROR(SUMIFS(FourthYearP,Participants2,A46,InsitutionP,A43),"")</f>
        <v>0</v>
      </c>
      <c r="G46" s="244">
        <f>IFERROR(SUMIFS(FifthYearP,Participants2,A46,InsitutionP,A43),"")</f>
        <v>0</v>
      </c>
      <c r="H46" s="244">
        <f>IFERROR(SUMIFS(SixthYearP,Participants2,A46,InsitutionP,A43),"")</f>
        <v>0</v>
      </c>
      <c r="I46" s="244">
        <f>IFERROR(SUMIFS(SeventhYearP,Participants2,A46,InsitutionP,A43),"")</f>
        <v>0</v>
      </c>
      <c r="J46" s="367">
        <f>IFERROR(SUMIFS(EighthYearP,Participants2,A46,InsitutionP,A43),"")</f>
        <v>0</v>
      </c>
      <c r="K46" s="367">
        <f>IFERROR(SUMIFS(NinthYearP,Participants2,A46,InsitutionP,A43),"")</f>
        <v>0</v>
      </c>
      <c r="L46" s="247">
        <f>IFERROR(SUMIFS(CoFinancingP,Participants2,A46,InsitutionP,A43),"")</f>
        <v>0</v>
      </c>
      <c r="M46" s="248">
        <f>IFERROR(SUMIFS(OtherP,Participants2,A46,InsitutionP,A43),"")</f>
        <v>0</v>
      </c>
      <c r="O46" s="243" t="s">
        <v>798</v>
      </c>
      <c r="P46" s="335" t="str">
        <f t="shared" ref="P46:P55" si="83">IFERROR(IF(SUM(Q46:Y46)=0, "", SUM(Q46:Y46)),"")</f>
        <v/>
      </c>
      <c r="Q46" s="244">
        <f>IFERROR(SUMIFS(FirstYearP,Participants2,O46,InsitutionP,O43),"")</f>
        <v>0</v>
      </c>
      <c r="R46" s="244">
        <f>IFERROR(SUMIFS(SecondYearP,Participants2,O46,InsitutionP,O43),"")</f>
        <v>0</v>
      </c>
      <c r="S46" s="244">
        <f>IFERROR(SUMIFS(ThirdYearP,Participants2,O46,InsitutionP,O43),"")</f>
        <v>0</v>
      </c>
      <c r="T46" s="244">
        <f>IFERROR(SUMIFS(FourthYearP,Participants2,O46,InsitutionP,O43),"")</f>
        <v>0</v>
      </c>
      <c r="U46" s="244">
        <f>IFERROR(SUMIFS(FifthYearP,Participants2,O46,InsitutionP,O43),"")</f>
        <v>0</v>
      </c>
      <c r="V46" s="244">
        <f>IFERROR(SUMIFS(SixthYearP,Participants2,O46,InsitutionP,O43),"")</f>
        <v>0</v>
      </c>
      <c r="W46" s="244">
        <f>IFERROR(SUMIFS(SeventhYearP,Participants2,O46,InsitutionP,O43),"")</f>
        <v>0</v>
      </c>
      <c r="X46" s="367">
        <f>IFERROR(SUMIFS(EighthYearP,Participants2,O46,InsitutionP,O43),"")</f>
        <v>0</v>
      </c>
      <c r="Y46" s="367">
        <f>IFERROR(SUMIFS(NinthYearP,Participants2,O46,InsitutionP,O43),"")</f>
        <v>0</v>
      </c>
      <c r="Z46" s="247">
        <f>IFERROR(SUMIFS(CoFinancingP,Participants2,O46,InsitutionP,O43),"")</f>
        <v>0</v>
      </c>
      <c r="AA46" s="248">
        <f>IFERROR(SUMIFS(OtherP,Participants2,O46,InsitutionP,O43),"")</f>
        <v>0</v>
      </c>
    </row>
    <row r="47" spans="1:27" x14ac:dyDescent="0.25">
      <c r="A47" s="176" t="s">
        <v>784</v>
      </c>
      <c r="B47" s="335" t="str">
        <f t="shared" si="82"/>
        <v/>
      </c>
      <c r="C47" s="244">
        <f>IFERROR(SUMIFS(FirstYearP,Participants2,A47,InsitutionP,A43),"")</f>
        <v>0</v>
      </c>
      <c r="D47" s="244">
        <f>IFERROR(SUMIFS(SecondYearP,Participants2,A47,InsitutionP,A43),"")</f>
        <v>0</v>
      </c>
      <c r="E47" s="244">
        <f>IFERROR(SUMIFS(ThirdYearP,Participants2,A47,InsitutionP,A43),"")</f>
        <v>0</v>
      </c>
      <c r="F47" s="244">
        <f>IFERROR(SUMIFS(FourthYearP,Participants2,A47,InsitutionP,A43),"")</f>
        <v>0</v>
      </c>
      <c r="G47" s="244">
        <f>IFERROR(SUMIFS(FifthYearP,Participants2,A47,InsitutionP,A43),"")</f>
        <v>0</v>
      </c>
      <c r="H47" s="244">
        <f>IFERROR(SUMIFS(SixthYearP,Participants2,A47,InsitutionP,A43),"")</f>
        <v>0</v>
      </c>
      <c r="I47" s="244">
        <f>IFERROR(SUMIFS(SeventhYearP,Participants2,A47,InsitutionP,A43),"")</f>
        <v>0</v>
      </c>
      <c r="J47" s="367">
        <f>IFERROR(SUMIFS(EighthYearP,Participants2,A47,InsitutionP,A43),"")</f>
        <v>0</v>
      </c>
      <c r="K47" s="367">
        <f>IFERROR(SUMIFS(NinthYearP,Participants2,A47,InsitutionP,A43),"")</f>
        <v>0</v>
      </c>
      <c r="L47" s="247">
        <f>IFERROR(SUMIFS(CoFinancingP,Participants2,A47,InsitutionP,A43),"")</f>
        <v>0</v>
      </c>
      <c r="M47" s="248">
        <f>IFERROR(SUMIFS(OtherP,Participants2,A47,InsitutionP,A43),"")</f>
        <v>0</v>
      </c>
      <c r="O47" s="176" t="s">
        <v>784</v>
      </c>
      <c r="P47" s="335" t="str">
        <f t="shared" si="83"/>
        <v/>
      </c>
      <c r="Q47" s="244">
        <f>IFERROR(SUMIFS(FirstYearP,Participants2,O47,InsitutionP,O43),"")</f>
        <v>0</v>
      </c>
      <c r="R47" s="244">
        <f>IFERROR(SUMIFS(SecondYearP,Participants2,O47,InsitutionP,O43),"")</f>
        <v>0</v>
      </c>
      <c r="S47" s="244">
        <f>IFERROR(SUMIFS(ThirdYearP,Participants2,O47,InsitutionP,O43),"")</f>
        <v>0</v>
      </c>
      <c r="T47" s="244">
        <f>IFERROR(SUMIFS(FourthYearP,Participants2,O47,InsitutionP,O43),"")</f>
        <v>0</v>
      </c>
      <c r="U47" s="244">
        <f>IFERROR(SUMIFS(FifthYearP,Participants2,O47,InsitutionP,O43),"")</f>
        <v>0</v>
      </c>
      <c r="V47" s="244">
        <f>IFERROR(SUMIFS(SixthYearP,Participants2,O47,InsitutionP,O43),"")</f>
        <v>0</v>
      </c>
      <c r="W47" s="244">
        <f>IFERROR(SUMIFS(SeventhYearP,Participants2,O47,InsitutionP,O43),"")</f>
        <v>0</v>
      </c>
      <c r="X47" s="367">
        <f>IFERROR(SUMIFS(EighthYearP,Participants2,O47,InsitutionP,O43),"")</f>
        <v>0</v>
      </c>
      <c r="Y47" s="367">
        <f>IFERROR(SUMIFS(NinthYearP,Participants2,O47,InsitutionP,O43),"")</f>
        <v>0</v>
      </c>
      <c r="Z47" s="247">
        <f>IFERROR(SUMIFS(CoFinancingP,Participants2,O47,InsitutionP,O43),"")</f>
        <v>0</v>
      </c>
      <c r="AA47" s="248">
        <f>IFERROR(SUMIFS(OtherP,Participants2,O47,InsitutionP,O43),"")</f>
        <v>0</v>
      </c>
    </row>
    <row r="48" spans="1:27" ht="15.75" thickBot="1" x14ac:dyDescent="0.3">
      <c r="A48" s="176" t="s">
        <v>799</v>
      </c>
      <c r="B48" s="336" t="str">
        <f t="shared" si="82"/>
        <v/>
      </c>
      <c r="C48" s="244">
        <f>IFERROR(SUMIFS(FirstYearP,Participants2,A48,InsitutionP,A43),"")</f>
        <v>0</v>
      </c>
      <c r="D48" s="244">
        <f>IFERROR(SUMIFS(SecondYearP,Participants2,A48,InsitutionP,A43),"")</f>
        <v>0</v>
      </c>
      <c r="E48" s="244">
        <f>IFERROR(SUMIFS(ThirdYearP,Participants2,A48,InsitutionP,A43),"")</f>
        <v>0</v>
      </c>
      <c r="F48" s="244">
        <f>IFERROR(SUMIFS(FourthYearP,Participants2,A48,InsitutionP,A43),"")</f>
        <v>0</v>
      </c>
      <c r="G48" s="244">
        <f>IFERROR(SUMIFS(FifthYearP,Participants2,A48,InsitutionP,A43),"")</f>
        <v>0</v>
      </c>
      <c r="H48" s="244">
        <f>IFERROR(SUMIFS(SixthYearP,Participants2,A48,InsitutionP,A43),"")</f>
        <v>0</v>
      </c>
      <c r="I48" s="244">
        <f>IFERROR(SUMIFS(SeventhYearP,Participants2,A48,InsitutionP,A43),"")</f>
        <v>0</v>
      </c>
      <c r="J48" s="367">
        <f>IFERROR(SUMIFS(EighthYearP,Participants2,A48,InsitutionP,A43),"")</f>
        <v>0</v>
      </c>
      <c r="K48" s="367">
        <f>IFERROR(SUMIFS(NinthYearP,Participants2,A48,InsitutionP,A43),"")</f>
        <v>0</v>
      </c>
      <c r="L48" s="247">
        <f>IFERROR(SUMIFS(CoFinancingP,Participants2,A48,InsitutionP,A43),"")</f>
        <v>0</v>
      </c>
      <c r="M48" s="248">
        <f>IFERROR(SUMIFS(OtherP,Participants2,A48,InsitutionP,A43),"")</f>
        <v>0</v>
      </c>
      <c r="O48" s="176" t="s">
        <v>799</v>
      </c>
      <c r="P48" s="336" t="str">
        <f t="shared" si="83"/>
        <v/>
      </c>
      <c r="Q48" s="244">
        <f>IFERROR(SUMIFS(FirstYearP,Participants2,O48,InsitutionP,O43),"")</f>
        <v>0</v>
      </c>
      <c r="R48" s="244">
        <f>IFERROR(SUMIFS(SecondYearP,Participants2,O48,InsitutionP,O43),"")</f>
        <v>0</v>
      </c>
      <c r="S48" s="244">
        <f>IFERROR(SUMIFS(ThirdYearP,Participants2,O48,InsitutionP,O43),"")</f>
        <v>0</v>
      </c>
      <c r="T48" s="244">
        <f>IFERROR(SUMIFS(FourthYearP,Participants2,O48,InsitutionP,O43),"")</f>
        <v>0</v>
      </c>
      <c r="U48" s="244">
        <f>IFERROR(SUMIFS(FifthYearP,Participants2,O48,InsitutionP,O43),"")</f>
        <v>0</v>
      </c>
      <c r="V48" s="244">
        <f>IFERROR(SUMIFS(SixthYearP,Participants2,O48,InsitutionP,O43),"")</f>
        <v>0</v>
      </c>
      <c r="W48" s="244">
        <f>IFERROR(SUMIFS(SeventhYearP,Participants2,O48,InsitutionP,O43),"")</f>
        <v>0</v>
      </c>
      <c r="X48" s="367">
        <f>IFERROR(SUMIFS(EighthYearP,Participants2,O48,InsitutionP,O43),"")</f>
        <v>0</v>
      </c>
      <c r="Y48" s="367">
        <f>IFERROR(SUMIFS(NinthYearP,Participants2,O48,InsitutionP,O43),"")</f>
        <v>0</v>
      </c>
      <c r="Z48" s="247">
        <f>IFERROR(SUMIFS(CoFinancingP,Participants2,O48,InsitutionP,O43),"")</f>
        <v>0</v>
      </c>
      <c r="AA48" s="248">
        <f>IFERROR(SUMIFS(OtherP,Participants2,O48,InsitutionP,O43),"")</f>
        <v>0</v>
      </c>
    </row>
    <row r="49" spans="1:27" x14ac:dyDescent="0.25">
      <c r="A49" s="177" t="s">
        <v>786</v>
      </c>
      <c r="B49" s="334" t="str">
        <f t="shared" si="82"/>
        <v/>
      </c>
      <c r="C49" s="212" t="str">
        <f>IFERROR(IF(SUM(C45:C48)=0, "", SUM(C45:C48)),"")</f>
        <v/>
      </c>
      <c r="D49" s="212" t="str">
        <f t="shared" ref="D49" si="84">IFERROR(IF(SUM(D45:D48)=0, "", SUM(D45:D48)),"")</f>
        <v/>
      </c>
      <c r="E49" s="212" t="str">
        <f t="shared" ref="E49" si="85">IFERROR(IF(SUM(E45:E48)=0, "", SUM(E45:E48)),"")</f>
        <v/>
      </c>
      <c r="F49" s="212" t="str">
        <f t="shared" ref="F49" si="86">IFERROR(IF(SUM(F45:F48)=0, "", SUM(F45:F48)),"")</f>
        <v/>
      </c>
      <c r="G49" s="212" t="str">
        <f t="shared" ref="G49" si="87">IFERROR(IF(SUM(G45:G48)=0, "", SUM(G45:G48)),"")</f>
        <v/>
      </c>
      <c r="H49" s="212" t="str">
        <f t="shared" ref="H49" si="88">IFERROR(IF(SUM(H45:H48)=0, "", SUM(H45:H48)),"")</f>
        <v/>
      </c>
      <c r="I49" s="212" t="str">
        <f t="shared" ref="I49:K49" si="89">IFERROR(IF(SUM(I45:I48)=0, "", SUM(I45:I48)),"")</f>
        <v/>
      </c>
      <c r="J49" s="365" t="str">
        <f t="shared" si="89"/>
        <v/>
      </c>
      <c r="K49" s="365" t="str">
        <f t="shared" si="89"/>
        <v/>
      </c>
      <c r="L49" s="223" t="str">
        <f>IFERROR(IF(SUM(L45:L48)=0, "", SUM(L45:L48)),"")</f>
        <v/>
      </c>
      <c r="M49" s="224" t="str">
        <f>IFERROR(IF(SUM(M45:M48)=0, "", SUM(M45:M48)),"")</f>
        <v/>
      </c>
      <c r="O49" s="177" t="s">
        <v>786</v>
      </c>
      <c r="P49" s="334" t="str">
        <f t="shared" si="83"/>
        <v/>
      </c>
      <c r="Q49" s="212" t="str">
        <f>IFERROR(IF(SUM(Q45:Q48)=0, "", SUM(Q45:Q48)),"")</f>
        <v/>
      </c>
      <c r="R49" s="212" t="str">
        <f t="shared" ref="R49" si="90">IFERROR(IF(SUM(R45:R48)=0, "", SUM(R45:R48)),"")</f>
        <v/>
      </c>
      <c r="S49" s="212" t="str">
        <f t="shared" ref="S49" si="91">IFERROR(IF(SUM(S45:S48)=0, "", SUM(S45:S48)),"")</f>
        <v/>
      </c>
      <c r="T49" s="212" t="str">
        <f t="shared" ref="T49" si="92">IFERROR(IF(SUM(T45:T48)=0, "", SUM(T45:T48)),"")</f>
        <v/>
      </c>
      <c r="U49" s="212" t="str">
        <f t="shared" ref="U49" si="93">IFERROR(IF(SUM(U45:U48)=0, "", SUM(U45:U48)),"")</f>
        <v/>
      </c>
      <c r="V49" s="212" t="str">
        <f t="shared" ref="V49" si="94">IFERROR(IF(SUM(V45:V48)=0, "", SUM(V45:V48)),"")</f>
        <v/>
      </c>
      <c r="W49" s="212" t="str">
        <f t="shared" ref="W49:Y49" si="95">IFERROR(IF(SUM(W45:W48)=0, "", SUM(W45:W48)),"")</f>
        <v/>
      </c>
      <c r="X49" s="365" t="str">
        <f t="shared" si="95"/>
        <v/>
      </c>
      <c r="Y49" s="365" t="str">
        <f t="shared" si="95"/>
        <v/>
      </c>
      <c r="Z49" s="223" t="str">
        <f>IFERROR(IF(SUM(Z45:Z48)=0, "", SUM(Z45:Z48)),"")</f>
        <v/>
      </c>
      <c r="AA49" s="224" t="str">
        <f>IFERROR(IF(SUM(AA45:AA48)=0, "", SUM(AA45:AA48)),"")</f>
        <v/>
      </c>
    </row>
    <row r="50" spans="1:27" ht="25.5" x14ac:dyDescent="0.25">
      <c r="A50" s="178" t="s">
        <v>850</v>
      </c>
      <c r="B50" s="337" t="str">
        <f t="shared" si="82"/>
        <v/>
      </c>
      <c r="C50" s="218">
        <f>IFERROR(SUMIFS(FirstYearP,Participants2,A50,InsitutionP,A43),"")</f>
        <v>0</v>
      </c>
      <c r="D50" s="218">
        <f>IFERROR(SUMIFS(SecondYearP,Participants2,A50,InsitutionP,A43),"")</f>
        <v>0</v>
      </c>
      <c r="E50" s="218">
        <f>IFERROR(SUMIFS(ThirdYearP,Participants2,A50,InsitutionP,A43),"")</f>
        <v>0</v>
      </c>
      <c r="F50" s="218">
        <f>IFERROR(SUMIFS(FourthYearP,Participants2,A50,InsitutionP,A43),"")</f>
        <v>0</v>
      </c>
      <c r="G50" s="219">
        <f>IFERROR(SUMIFS(FifthYearP,Participants2,A50,InsitutionP,A43),"")</f>
        <v>0</v>
      </c>
      <c r="H50" s="219">
        <f>IFERROR(SUMIFS(SixthYearP,Participants2,A50,InsitutionP,A43),"")</f>
        <v>0</v>
      </c>
      <c r="I50" s="220">
        <f>IFERROR(SUMIFS(SeventhYearP,Participants2,A50,InsitutionP,A43),"")</f>
        <v>0</v>
      </c>
      <c r="J50" s="219">
        <f>IFERROR(SUMIFS(EighthYearP,Participants2,A50,InsitutionP,A43),"")</f>
        <v>0</v>
      </c>
      <c r="K50" s="219">
        <f>IFERROR(SUMIFS(NinthYearP,Participants2,A50,InsitutionP,A43),"")</f>
        <v>0</v>
      </c>
      <c r="L50" s="221">
        <f>IFERROR(SUMIFS(CoFinancingP,Participants2,A50,InsitutionP,A43),"")</f>
        <v>0</v>
      </c>
      <c r="M50" s="222">
        <f>IFERROR(SUMIFS(OtherP,Participants2,A50,InsitutionP,A43),"")</f>
        <v>0</v>
      </c>
      <c r="O50" s="178" t="s">
        <v>850</v>
      </c>
      <c r="P50" s="337" t="str">
        <f t="shared" si="83"/>
        <v/>
      </c>
      <c r="Q50" s="218">
        <f>IFERROR(SUMIFS(FirstYearP,Participants2,O50,InsitutionP,O43),"")</f>
        <v>0</v>
      </c>
      <c r="R50" s="218">
        <f>IFERROR(SUMIFS(SecondYearP,Participants2,O50,InsitutionP,O43),"")</f>
        <v>0</v>
      </c>
      <c r="S50" s="218">
        <f>IFERROR(SUMIFS(ThirdYearP,Participants2,O50,InsitutionP,O43),"")</f>
        <v>0</v>
      </c>
      <c r="T50" s="218">
        <f>IFERROR(SUMIFS(FourthYearP,Participants2,O50,InsitutionP,O43),"")</f>
        <v>0</v>
      </c>
      <c r="U50" s="219">
        <f>IFERROR(SUMIFS(FifthYearP,Participants2,O50,InsitutionP,O43),"")</f>
        <v>0</v>
      </c>
      <c r="V50" s="219">
        <f>IFERROR(SUMIFS(SixthYearP,Participants2,O50,InsitutionP,O43),"")</f>
        <v>0</v>
      </c>
      <c r="W50" s="220">
        <f>IFERROR(SUMIFS(SeventhYearP,Participants2,O50,InsitutionP,O43),"")</f>
        <v>0</v>
      </c>
      <c r="X50" s="219">
        <f>IFERROR(SUMIFS(EighthYearP,Participants2,O50,InsitutionP,O43),"")</f>
        <v>0</v>
      </c>
      <c r="Y50" s="219">
        <f>IFERROR(SUMIFS(NinthYearP,Participants2,O50,InsitutionP,O43),"")</f>
        <v>0</v>
      </c>
      <c r="Z50" s="221">
        <f>IFERROR(SUMIFS(CoFinancingP,Participants2,O50,InsitutionP,O43),"")</f>
        <v>0</v>
      </c>
      <c r="AA50" s="222">
        <f>IFERROR(SUMIFS(OtherP,Participants2,O50,InsitutionP,O43),"")</f>
        <v>0</v>
      </c>
    </row>
    <row r="51" spans="1:27" x14ac:dyDescent="0.25">
      <c r="A51" s="178" t="s">
        <v>29</v>
      </c>
      <c r="B51" s="217" t="str">
        <f t="shared" si="82"/>
        <v/>
      </c>
      <c r="C51" s="218">
        <f>IFERROR(SUMIFS(FirstYearE,Expenses,A51,InsitutionE,A43),"")</f>
        <v>0</v>
      </c>
      <c r="D51" s="218">
        <f>IFERROR(SUMIFS(SecondYearE,Expenses,A51,InsitutionE,A43),"")</f>
        <v>0</v>
      </c>
      <c r="E51" s="218">
        <f>IFERROR(SUMIFS(ThirdYearE,Expenses,A51,InsitutionE,A43),"")</f>
        <v>0</v>
      </c>
      <c r="F51" s="218">
        <f>IFERROR(SUMIFS(FourthYearE,Expenses,A51,InsitutionE,A43),"")</f>
        <v>0</v>
      </c>
      <c r="G51" s="219">
        <f>IFERROR(SUMIFS(FifthYearE,Expenses,A51,InsitutionE,A43),"")</f>
        <v>0</v>
      </c>
      <c r="H51" s="219">
        <f>IFERROR(SUMIFS(SixthYearE,Expenses,A51,InsitutionE,A43),"")</f>
        <v>0</v>
      </c>
      <c r="I51" s="220">
        <f>IFERROR(SUMIFS(SeventhYearE,Expenses,A51,InsitutionE,A43),"")</f>
        <v>0</v>
      </c>
      <c r="J51" s="219">
        <f>IFERROR(SUMIFS(EightYearE,Expenses,A51,InsitutionE,A43),"")</f>
        <v>0</v>
      </c>
      <c r="K51" s="219">
        <f>IFERROR(SUMIFS(NinthYearE,Expenses,A51,InsitutionE,A43),"")</f>
        <v>0</v>
      </c>
      <c r="L51" s="221">
        <f>IFERROR(SUMIFS(CoFinancingE,Expenses,A51,InsitutionE,A43),"")</f>
        <v>0</v>
      </c>
      <c r="M51" s="222">
        <f>IFERROR(SUMIFS(OtherE,Expenses,A51,InsitutionE,A43),"")</f>
        <v>0</v>
      </c>
      <c r="O51" s="178" t="s">
        <v>29</v>
      </c>
      <c r="P51" s="217" t="str">
        <f t="shared" si="83"/>
        <v/>
      </c>
      <c r="Q51" s="218">
        <f>IFERROR(SUMIFS(FirstYearE,Expenses,O51,InsitutionE,O43),"")</f>
        <v>0</v>
      </c>
      <c r="R51" s="218">
        <f>IFERROR(SUMIFS(SecondYearE,Expenses,O51,InsitutionE,O43),"")</f>
        <v>0</v>
      </c>
      <c r="S51" s="218">
        <f>IFERROR(SUMIFS(ThirdYearE,Expenses,O51,InsitutionE,O43),"")</f>
        <v>0</v>
      </c>
      <c r="T51" s="218">
        <f>IFERROR(SUMIFS(FourthYearE,Expenses,O51,InsitutionE,O43),"")</f>
        <v>0</v>
      </c>
      <c r="U51" s="219">
        <f>IFERROR(SUMIFS(FifthYearE,Expenses,O51,InsitutionE,O43),"")</f>
        <v>0</v>
      </c>
      <c r="V51" s="219">
        <f>IFERROR(SUMIFS(SixthYearE,Expenses,O51,InsitutionE,O43),"")</f>
        <v>0</v>
      </c>
      <c r="W51" s="220">
        <f>IFERROR(SUMIFS(SeventhYearE,Expenses,O51,InsitutionE,O43),"")</f>
        <v>0</v>
      </c>
      <c r="X51" s="219">
        <f>IFERROR(SUMIFS(EightYearE,Expenses,O51,InsitutionE,O43),"")</f>
        <v>0</v>
      </c>
      <c r="Y51" s="219">
        <f>IFERROR(SUMIFS(NinthYearE,Expenses,O51,InsitutionE,O43),"")</f>
        <v>0</v>
      </c>
      <c r="Z51" s="221">
        <f>IFERROR(SUMIFS(CoFinancingE,Expenses,O51,InsitutionE,O43),"")</f>
        <v>0</v>
      </c>
      <c r="AA51" s="222">
        <f>IFERROR(SUMIFS(OtherE,Expenses,O51,InsitutionE,O43),"")</f>
        <v>0</v>
      </c>
    </row>
    <row r="52" spans="1:27" ht="15.75" thickBot="1" x14ac:dyDescent="0.3">
      <c r="A52" s="178" t="s">
        <v>39</v>
      </c>
      <c r="B52" s="217" t="str">
        <f t="shared" si="82"/>
        <v/>
      </c>
      <c r="C52" s="218">
        <f>IFERROR(SUMIFS(FirstYearE,Expenses,A52,InsitutionE,A43),"")</f>
        <v>0</v>
      </c>
      <c r="D52" s="218">
        <f>IFERROR(SUMIFS(SecondYearE,Expenses,A52,InsitutionE,A43),"")</f>
        <v>0</v>
      </c>
      <c r="E52" s="218">
        <f>IFERROR(SUMIFS(ThirdYearE,Expenses,A52,InsitutionE,A43),"")</f>
        <v>0</v>
      </c>
      <c r="F52" s="218">
        <f>IFERROR(SUMIFS(FourthYearE,Expenses,A52,InsitutionE,A43),"")</f>
        <v>0</v>
      </c>
      <c r="G52" s="219">
        <f>IFERROR(SUMIFS(FifthYearE,Expenses,A52,InsitutionE,A43),"")</f>
        <v>0</v>
      </c>
      <c r="H52" s="219">
        <f>IFERROR(SUMIFS(SixthYearE,Expenses,A52,InsitutionE,A43),"")</f>
        <v>0</v>
      </c>
      <c r="I52" s="220">
        <f>IFERROR(SUMIFS(SeventhYearE,Expenses,A52,InsitutionE,A43),"")</f>
        <v>0</v>
      </c>
      <c r="J52" s="219">
        <f>IFERROR(SUMIFS(EightYearE,Expenses,A52,InsitutionE,A43),"")</f>
        <v>0</v>
      </c>
      <c r="K52" s="219">
        <f>IFERROR(SUMIFS(NinthYearE,Expenses,A52,InsitutionE,A43),"")</f>
        <v>0</v>
      </c>
      <c r="L52" s="221">
        <f>IFERROR(SUMIFS(CoFinancingE,Expenses,A52,InsitutionE,A43),"")</f>
        <v>0</v>
      </c>
      <c r="M52" s="222">
        <f>IFERROR(SUMIFS(OtherE,Expenses,A52,InsitutionE,A43),"")</f>
        <v>0</v>
      </c>
      <c r="O52" s="178" t="s">
        <v>39</v>
      </c>
      <c r="P52" s="217" t="str">
        <f t="shared" si="83"/>
        <v/>
      </c>
      <c r="Q52" s="218">
        <f>IFERROR(SUMIFS(FirstYearE,Expenses,O52,InsitutionE,O43),"")</f>
        <v>0</v>
      </c>
      <c r="R52" s="218">
        <f>IFERROR(SUMIFS(SecondYearE,Expenses,O52,InsitutionE,O43),"")</f>
        <v>0</v>
      </c>
      <c r="S52" s="218">
        <f>IFERROR(SUMIFS(ThirdYearE,Expenses,O52,InsitutionE,O43),"")</f>
        <v>0</v>
      </c>
      <c r="T52" s="218">
        <f>IFERROR(SUMIFS(FourthYearE,Expenses,O52,InsitutionE,O43),"")</f>
        <v>0</v>
      </c>
      <c r="U52" s="219">
        <f>IFERROR(SUMIFS(FifthYearE,Expenses,O52,InsitutionE,O43),"")</f>
        <v>0</v>
      </c>
      <c r="V52" s="219">
        <f>IFERROR(SUMIFS(SixthYearE,Expenses,O52,InsitutionE,O43),"")</f>
        <v>0</v>
      </c>
      <c r="W52" s="220">
        <f>IFERROR(SUMIFS(SeventhYearE,Expenses,O52,InsitutionE,O43),"")</f>
        <v>0</v>
      </c>
      <c r="X52" s="219">
        <f>IFERROR(SUMIFS(EightYearE,Expenses,O52,InsitutionE,O43),"")</f>
        <v>0</v>
      </c>
      <c r="Y52" s="219">
        <f>IFERROR(SUMIFS(NinthYearE,Expenses,O52,InsitutionE,O43),"")</f>
        <v>0</v>
      </c>
      <c r="Z52" s="221">
        <f>IFERROR(SUMIFS(CoFinancingE,Expenses,O52,InsitutionE,O43),"")</f>
        <v>0</v>
      </c>
      <c r="AA52" s="222">
        <f>IFERROR(SUMIFS(OtherE,Expenses,O52,InsitutionE,O43),"")</f>
        <v>0</v>
      </c>
    </row>
    <row r="53" spans="1:27" ht="15.75" thickBot="1" x14ac:dyDescent="0.3">
      <c r="A53" s="177" t="s">
        <v>817</v>
      </c>
      <c r="B53" s="338" t="str">
        <f t="shared" si="82"/>
        <v/>
      </c>
      <c r="C53" s="212" t="str">
        <f>IFERROR(IF(SUM(C49:C52)=0, "", ROUND(SUM(C49:C52),0)),"")</f>
        <v/>
      </c>
      <c r="D53" s="365" t="str">
        <f t="shared" ref="D53:H53" si="96">IFERROR(IF(SUM(D49:D52)=0, "", ROUND(SUM(D49:D52),0)),"")</f>
        <v/>
      </c>
      <c r="E53" s="365" t="str">
        <f t="shared" si="96"/>
        <v/>
      </c>
      <c r="F53" s="365" t="str">
        <f t="shared" si="96"/>
        <v/>
      </c>
      <c r="G53" s="365" t="str">
        <f t="shared" si="96"/>
        <v/>
      </c>
      <c r="H53" s="365" t="str">
        <f t="shared" si="96"/>
        <v/>
      </c>
      <c r="I53" s="365" t="str">
        <f>IFERROR(IF(SUM(I49:I52)=0, "", ROUND(SUM(I49:I52),0)),"")</f>
        <v/>
      </c>
      <c r="J53" s="365" t="str">
        <f t="shared" ref="J53:K53" si="97">IFERROR(IF(SUM(J49:J52)=0, "", ROUND(SUM(J49:J52),0)),"")</f>
        <v/>
      </c>
      <c r="K53" s="365" t="str">
        <f t="shared" si="97"/>
        <v/>
      </c>
      <c r="L53" s="225" t="str">
        <f>IFERROR(IF(SUM(L49:L52)=0, "", ROUND(SUM(L49:L52),0)),"")</f>
        <v/>
      </c>
      <c r="M53" s="226" t="str">
        <f>IFERROR(IF(SUM(M49:M52)=0, "", ROUND(SUM(M49:M52),0)),"")</f>
        <v/>
      </c>
      <c r="O53" s="177" t="s">
        <v>817</v>
      </c>
      <c r="P53" s="338" t="str">
        <f t="shared" si="83"/>
        <v/>
      </c>
      <c r="Q53" s="212" t="str">
        <f>IFERROR(IF(SUM(Q49:Q52)=0, "", ROUND(SUM(Q49:Q52),0)),"")</f>
        <v/>
      </c>
      <c r="R53" s="365" t="str">
        <f t="shared" ref="R53:V53" si="98">IFERROR(IF(SUM(R49:R52)=0, "", ROUND(SUM(R49:R52),0)),"")</f>
        <v/>
      </c>
      <c r="S53" s="365" t="str">
        <f t="shared" si="98"/>
        <v/>
      </c>
      <c r="T53" s="365" t="str">
        <f t="shared" si="98"/>
        <v/>
      </c>
      <c r="U53" s="365" t="str">
        <f t="shared" si="98"/>
        <v/>
      </c>
      <c r="V53" s="365" t="str">
        <f t="shared" si="98"/>
        <v/>
      </c>
      <c r="W53" s="365" t="str">
        <f>IFERROR(IF(SUM(W49:W52)=0, "", ROUND(SUM(W49:W52),0)),"")</f>
        <v/>
      </c>
      <c r="X53" s="365" t="str">
        <f t="shared" ref="X53:Y53" si="99">IFERROR(IF(SUM(X49:X52)=0, "", ROUND(SUM(X49:X52),0)),"")</f>
        <v/>
      </c>
      <c r="Y53" s="365" t="str">
        <f t="shared" si="99"/>
        <v/>
      </c>
      <c r="Z53" s="225" t="str">
        <f>IFERROR(IF(SUM(Z49:Z52)=0, "", ROUND(SUM(Z49:Z52),0)),"")</f>
        <v/>
      </c>
      <c r="AA53" s="226" t="str">
        <f>IFERROR(IF(SUM(AA49:AA52)=0, "", ROUND(SUM(AA49:AA52),0)),"")</f>
        <v/>
      </c>
    </row>
    <row r="54" spans="1:27" ht="15.75" thickBot="1" x14ac:dyDescent="0.3">
      <c r="A54" s="178" t="s">
        <v>13</v>
      </c>
      <c r="B54" s="339" t="str">
        <f t="shared" si="82"/>
        <v/>
      </c>
      <c r="C54" s="341" t="str">
        <f>IFERROR(IF(Budget!$O$14="", "",ROUND(Budget!$O$14*C53,0)),"")</f>
        <v/>
      </c>
      <c r="D54" s="341" t="str">
        <f>IFERROR(IF(Budget!$O$14="", "",ROUND(Budget!$O$14*D53,0)),"")</f>
        <v/>
      </c>
      <c r="E54" s="341" t="str">
        <f>IFERROR(IF(Budget!$O$14="", "",ROUND(Budget!$O$14*E53,0)),"")</f>
        <v/>
      </c>
      <c r="F54" s="341" t="str">
        <f>IFERROR(IF(Budget!$O$14="", "",ROUND(Budget!$O$14*F53,0)),"")</f>
        <v/>
      </c>
      <c r="G54" s="341" t="str">
        <f>IFERROR(IF(Budget!$O$14="", "",ROUND(Budget!$O$14*G53,0)),"")</f>
        <v/>
      </c>
      <c r="H54" s="341" t="str">
        <f>IFERROR(IF(Budget!$O$14="", "",ROUND(Budget!$O$14*H53,0)),"")</f>
        <v/>
      </c>
      <c r="I54" s="416" t="str">
        <f>IFERROR(IF(Budget!$O$14="", "",ROUND(Budget!$O$14*I53,0)),"")</f>
        <v/>
      </c>
      <c r="J54" s="422" t="str">
        <f>IFERROR(IF(Budget!$O$14="", "",ROUND(Budget!$O$14*J53,0)),"")</f>
        <v/>
      </c>
      <c r="K54" s="423" t="str">
        <f>IFERROR(IF(Budget!$O$14="", "",ROUND(Budget!$O$14*K53,0)),"")</f>
        <v/>
      </c>
      <c r="L54" s="227"/>
      <c r="M54" s="227"/>
      <c r="O54" s="178" t="s">
        <v>13</v>
      </c>
      <c r="P54" s="339" t="str">
        <f t="shared" si="83"/>
        <v/>
      </c>
      <c r="Q54" s="341" t="str">
        <f>IFERROR(IF(Budget!$Q$14="", "",ROUND(Budget!$Q$14*Q53,0)),"")</f>
        <v/>
      </c>
      <c r="R54" s="341" t="str">
        <f>IFERROR(IF(Budget!$Q$14="", "",ROUND(Budget!$Q$14*R53,0)),"")</f>
        <v/>
      </c>
      <c r="S54" s="341" t="str">
        <f>IFERROR(IF(Budget!$Q$14="", "",ROUND(Budget!$Q$14*S53,0)),"")</f>
        <v/>
      </c>
      <c r="T54" s="341" t="str">
        <f>IFERROR(IF(Budget!$Q$14="", "",ROUND(Budget!$Q$14*T53,0)),"")</f>
        <v/>
      </c>
      <c r="U54" s="341" t="str">
        <f>IFERROR(IF(Budget!$Q$14="", "",ROUND(Budget!$Q$14*U53,0)),"")</f>
        <v/>
      </c>
      <c r="V54" s="341" t="str">
        <f>IFERROR(IF(Budget!$Q$14="", "",ROUND(Budget!$Q$14*V53,0)),"")</f>
        <v/>
      </c>
      <c r="W54" s="416" t="str">
        <f>IFERROR(IF(Budget!$Q$14="", "",ROUND(Budget!$Q$14*W53,0)),"")</f>
        <v/>
      </c>
      <c r="X54" s="422" t="str">
        <f>IFERROR(IF(Budget!$Q$14="", "",ROUND(Budget!$Q$14*X53,0)),"")</f>
        <v/>
      </c>
      <c r="Y54" s="423" t="str">
        <f>IFERROR(IF(Budget!$Q$14="", "",ROUND(Budget!$Q$14*Y53,0)),"")</f>
        <v/>
      </c>
      <c r="Z54" s="227"/>
      <c r="AA54" s="227"/>
    </row>
    <row r="55" spans="1:27" ht="15.75" thickBot="1" x14ac:dyDescent="0.3">
      <c r="A55" s="179" t="s">
        <v>809</v>
      </c>
      <c r="B55" s="340" t="str">
        <f t="shared" si="82"/>
        <v/>
      </c>
      <c r="C55" s="228" t="str">
        <f>IFERROR(IF(SUM(C53:C54)=0, "", SUM(C53:C54)),"")</f>
        <v/>
      </c>
      <c r="D55" s="228" t="str">
        <f t="shared" ref="D55" si="100">IFERROR(IF(SUM(D53:D54)=0, "", SUM(D53:D54)),"")</f>
        <v/>
      </c>
      <c r="E55" s="228" t="str">
        <f t="shared" ref="E55" si="101">IFERROR(IF(SUM(E53:E54)=0, "", SUM(E53:E54)),"")</f>
        <v/>
      </c>
      <c r="F55" s="228" t="str">
        <f t="shared" ref="F55" si="102">IFERROR(IF(SUM(F53:F54)=0, "", SUM(F53:F54)),"")</f>
        <v/>
      </c>
      <c r="G55" s="228" t="str">
        <f t="shared" ref="G55" si="103">IFERROR(IF(SUM(G53:G54)=0, "", SUM(G53:G54)),"")</f>
        <v/>
      </c>
      <c r="H55" s="228" t="str">
        <f t="shared" ref="H55" si="104">IFERROR(IF(SUM(H53:H54)=0, "", SUM(H53:H54)),"")</f>
        <v/>
      </c>
      <c r="I55" s="229" t="str">
        <f t="shared" ref="I55:K55" si="105">IFERROR(IF(SUM(I53:I54)=0, "", SUM(I53:I54)),"")</f>
        <v/>
      </c>
      <c r="J55" s="379" t="str">
        <f t="shared" si="105"/>
        <v/>
      </c>
      <c r="K55" s="418" t="str">
        <f t="shared" si="105"/>
        <v/>
      </c>
      <c r="L55" s="227"/>
      <c r="M55" s="227"/>
      <c r="O55" s="179" t="s">
        <v>809</v>
      </c>
      <c r="P55" s="340" t="str">
        <f t="shared" si="83"/>
        <v/>
      </c>
      <c r="Q55" s="228" t="str">
        <f>IFERROR(IF(SUM(Q53:Q54)=0, "", SUM(Q53:Q54)),"")</f>
        <v/>
      </c>
      <c r="R55" s="228" t="str">
        <f t="shared" ref="R55" si="106">IFERROR(IF(SUM(R53:R54)=0, "", SUM(R53:R54)),"")</f>
        <v/>
      </c>
      <c r="S55" s="228" t="str">
        <f t="shared" ref="S55" si="107">IFERROR(IF(SUM(S53:S54)=0, "", SUM(S53:S54)),"")</f>
        <v/>
      </c>
      <c r="T55" s="228" t="str">
        <f t="shared" ref="T55" si="108">IFERROR(IF(SUM(T53:T54)=0, "", SUM(T53:T54)),"")</f>
        <v/>
      </c>
      <c r="U55" s="228" t="str">
        <f t="shared" ref="U55" si="109">IFERROR(IF(SUM(U53:U54)=0, "", SUM(U53:U54)),"")</f>
        <v/>
      </c>
      <c r="V55" s="228" t="str">
        <f t="shared" ref="V55" si="110">IFERROR(IF(SUM(V53:V54)=0, "", SUM(V53:V54)),"")</f>
        <v/>
      </c>
      <c r="W55" s="229" t="str">
        <f t="shared" ref="W55:Y55" si="111">IFERROR(IF(SUM(W53:W54)=0, "", SUM(W53:W54)),"")</f>
        <v/>
      </c>
      <c r="X55" s="379" t="str">
        <f t="shared" si="111"/>
        <v/>
      </c>
      <c r="Y55" s="418" t="str">
        <f t="shared" si="111"/>
        <v/>
      </c>
      <c r="Z55" s="227"/>
      <c r="AA55" s="227"/>
    </row>
    <row r="56" spans="1:27" ht="15.75" thickBot="1" x14ac:dyDescent="0.3"/>
    <row r="57" spans="1:27" ht="19.5" thickBot="1" x14ac:dyDescent="0.35">
      <c r="A57" s="512" t="s">
        <v>636</v>
      </c>
      <c r="B57" s="513"/>
      <c r="C57" s="513"/>
      <c r="D57" s="513"/>
      <c r="E57" s="513"/>
      <c r="F57" s="513"/>
      <c r="G57" s="513"/>
      <c r="H57" s="513"/>
      <c r="I57" s="513"/>
      <c r="J57" s="513"/>
      <c r="K57" s="513"/>
      <c r="L57" s="513"/>
      <c r="M57" s="514"/>
      <c r="O57" s="512" t="s">
        <v>637</v>
      </c>
      <c r="P57" s="513"/>
      <c r="Q57" s="513"/>
      <c r="R57" s="513"/>
      <c r="S57" s="513"/>
      <c r="T57" s="513"/>
      <c r="U57" s="513"/>
      <c r="V57" s="513"/>
      <c r="W57" s="513"/>
      <c r="X57" s="513"/>
      <c r="Y57" s="513"/>
      <c r="Z57" s="513"/>
      <c r="AA57" s="514"/>
    </row>
    <row r="58" spans="1:27" ht="26.25" thickBot="1" x14ac:dyDescent="0.3">
      <c r="A58" s="130" t="s">
        <v>825</v>
      </c>
      <c r="B58" s="388" t="s">
        <v>688</v>
      </c>
      <c r="C58" s="390">
        <f>FirstYear</f>
        <v>2021</v>
      </c>
      <c r="D58" s="390">
        <f>FirstYear+1</f>
        <v>2022</v>
      </c>
      <c r="E58" s="390">
        <f>FirstYear+2</f>
        <v>2023</v>
      </c>
      <c r="F58" s="390">
        <f>FirstYear+3</f>
        <v>2024</v>
      </c>
      <c r="G58" s="390">
        <f>FirstYear+4</f>
        <v>2025</v>
      </c>
      <c r="H58" s="390">
        <f>FirstYear+5</f>
        <v>2026</v>
      </c>
      <c r="I58" s="390">
        <f>FirstYear+6</f>
        <v>2027</v>
      </c>
      <c r="J58" s="390">
        <f>FirstYear+7</f>
        <v>2028</v>
      </c>
      <c r="K58" s="390">
        <f>FirstYear+8</f>
        <v>2029</v>
      </c>
      <c r="L58" s="391" t="s">
        <v>15</v>
      </c>
      <c r="M58" s="392" t="s">
        <v>689</v>
      </c>
      <c r="O58" s="130" t="s">
        <v>825</v>
      </c>
      <c r="P58" s="388" t="s">
        <v>688</v>
      </c>
      <c r="Q58" s="390">
        <f>FirstYear</f>
        <v>2021</v>
      </c>
      <c r="R58" s="390">
        <f>FirstYear+1</f>
        <v>2022</v>
      </c>
      <c r="S58" s="390">
        <f>FirstYear+2</f>
        <v>2023</v>
      </c>
      <c r="T58" s="390">
        <f>FirstYear+3</f>
        <v>2024</v>
      </c>
      <c r="U58" s="390">
        <f>FirstYear+4</f>
        <v>2025</v>
      </c>
      <c r="V58" s="390">
        <f>FirstYear+5</f>
        <v>2026</v>
      </c>
      <c r="W58" s="390">
        <f>FirstYear+6</f>
        <v>2027</v>
      </c>
      <c r="X58" s="390">
        <f>FirstYear+7</f>
        <v>2028</v>
      </c>
      <c r="Y58" s="390">
        <f>FirstYear+8</f>
        <v>2029</v>
      </c>
      <c r="Z58" s="391" t="s">
        <v>15</v>
      </c>
      <c r="AA58" s="392" t="s">
        <v>689</v>
      </c>
    </row>
    <row r="59" spans="1:27" x14ac:dyDescent="0.25">
      <c r="A59" s="175" t="s">
        <v>783</v>
      </c>
      <c r="B59" s="334"/>
      <c r="C59" s="212"/>
      <c r="D59" s="212"/>
      <c r="E59" s="212"/>
      <c r="F59" s="212"/>
      <c r="G59" s="213"/>
      <c r="H59" s="213"/>
      <c r="I59" s="214"/>
      <c r="J59" s="213"/>
      <c r="K59" s="213"/>
      <c r="L59" s="215"/>
      <c r="M59" s="216"/>
      <c r="O59" s="175" t="s">
        <v>783</v>
      </c>
      <c r="P59" s="334"/>
      <c r="Q59" s="212"/>
      <c r="R59" s="212"/>
      <c r="S59" s="212"/>
      <c r="T59" s="212"/>
      <c r="U59" s="213"/>
      <c r="V59" s="213"/>
      <c r="W59" s="214"/>
      <c r="X59" s="213"/>
      <c r="Y59" s="213"/>
      <c r="Z59" s="215"/>
      <c r="AA59" s="216"/>
    </row>
    <row r="60" spans="1:27" x14ac:dyDescent="0.25">
      <c r="A60" s="243" t="s">
        <v>798</v>
      </c>
      <c r="B60" s="335" t="str">
        <f t="shared" ref="B60:B69" si="112">IFERROR(IF(SUM(C60:K60)=0, "", SUM(C60:K60)),"")</f>
        <v/>
      </c>
      <c r="C60" s="244">
        <f>IFERROR(SUMIFS(FirstYearP,Participants2,A60,InsitutionP,A57),"")</f>
        <v>0</v>
      </c>
      <c r="D60" s="244">
        <f>IFERROR(SUMIFS(SecondYearP,Participants2,A60,InsitutionP,A57),"")</f>
        <v>0</v>
      </c>
      <c r="E60" s="244">
        <f>IFERROR(SUMIFS(ThirdYearP,Participants2,A60,InsitutionP,A57),"")</f>
        <v>0</v>
      </c>
      <c r="F60" s="244">
        <f>IFERROR(SUMIFS(FourthYearP,Participants2,A60,InsitutionP,A57),"")</f>
        <v>0</v>
      </c>
      <c r="G60" s="244">
        <f>IFERROR(SUMIFS(FifthYearP,Participants2,A60,InsitutionP,A57),"")</f>
        <v>0</v>
      </c>
      <c r="H60" s="244">
        <f>IFERROR(SUMIFS(SixthYearP,Participants2,A60,InsitutionP,A57),"")</f>
        <v>0</v>
      </c>
      <c r="I60" s="244">
        <f>IFERROR(SUMIFS(SeventhYearP,Participants2,A60,InsitutionP,A57),"")</f>
        <v>0</v>
      </c>
      <c r="J60" s="367">
        <f>IFERROR(SUMIFS(EighthYearP,Participants2,A60,InsitutionP,A57),"")</f>
        <v>0</v>
      </c>
      <c r="K60" s="367">
        <f>IFERROR(SUMIFS(NinthYearP,Participants2,A60,InsitutionP,A57),"")</f>
        <v>0</v>
      </c>
      <c r="L60" s="247">
        <f>IFERROR(SUMIFS(CoFinancingP,Participants2,A60,InsitutionP,A57),"")</f>
        <v>0</v>
      </c>
      <c r="M60" s="248">
        <f>IFERROR(SUMIFS(OtherP,Participants2,A60,InsitutionP,A57),"")</f>
        <v>0</v>
      </c>
      <c r="O60" s="243" t="s">
        <v>798</v>
      </c>
      <c r="P60" s="335" t="str">
        <f t="shared" ref="P60:P69" si="113">IFERROR(IF(SUM(Q60:Y60)=0, "", SUM(Q60:Y60)),"")</f>
        <v/>
      </c>
      <c r="Q60" s="244">
        <f>IFERROR(SUMIFS(FirstYearP,Participants2,O60,InsitutionP,O57),"")</f>
        <v>0</v>
      </c>
      <c r="R60" s="244">
        <f>IFERROR(SUMIFS(SecondYearP,Participants2,O60,InsitutionP,O57),"")</f>
        <v>0</v>
      </c>
      <c r="S60" s="244">
        <f>IFERROR(SUMIFS(ThirdYearP,Participants2,O60,InsitutionP,O57),"")</f>
        <v>0</v>
      </c>
      <c r="T60" s="244">
        <f>IFERROR(SUMIFS(FourthYearP,Participants2,O60,InsitutionP,O57),"")</f>
        <v>0</v>
      </c>
      <c r="U60" s="244">
        <f>IFERROR(SUMIFS(FifthYearP,Participants2,O60,InsitutionP,O57),"")</f>
        <v>0</v>
      </c>
      <c r="V60" s="244">
        <f>IFERROR(SUMIFS(SixthYearP,Participants2,O60,InsitutionP,O57),"")</f>
        <v>0</v>
      </c>
      <c r="W60" s="244">
        <f>IFERROR(SUMIFS(SeventhYearP,Participants2,O60,InsitutionP,O57),"")</f>
        <v>0</v>
      </c>
      <c r="X60" s="367">
        <f>IFERROR(SUMIFS(EighthYearP,Participants2,O60,InsitutionP,O57),"")</f>
        <v>0</v>
      </c>
      <c r="Y60" s="367">
        <f>IFERROR(SUMIFS(NinthYearP,Participants2,O60,InsitutionP,O57),"")</f>
        <v>0</v>
      </c>
      <c r="Z60" s="247">
        <f>IFERROR(SUMIFS(CoFinancingP,Participants2,O60,InsitutionP,O57),"")</f>
        <v>0</v>
      </c>
      <c r="AA60" s="248">
        <f>IFERROR(SUMIFS(OtherP,Participants2,O60,InsitutionP,O57),"")</f>
        <v>0</v>
      </c>
    </row>
    <row r="61" spans="1:27" x14ac:dyDescent="0.25">
      <c r="A61" s="176" t="s">
        <v>784</v>
      </c>
      <c r="B61" s="335" t="str">
        <f t="shared" si="112"/>
        <v/>
      </c>
      <c r="C61" s="244">
        <f>IFERROR(SUMIFS(FirstYearP,Participants2,A61,InsitutionP,A57),"")</f>
        <v>0</v>
      </c>
      <c r="D61" s="244">
        <f>IFERROR(SUMIFS(SecondYearP,Participants2,A61,InsitutionP,A57),"")</f>
        <v>0</v>
      </c>
      <c r="E61" s="244">
        <f>IFERROR(SUMIFS(ThirdYearP,Participants2,A61,InsitutionP,A57),"")</f>
        <v>0</v>
      </c>
      <c r="F61" s="244">
        <f>IFERROR(SUMIFS(FourthYearP,Participants2,A61,InsitutionP,A57),"")</f>
        <v>0</v>
      </c>
      <c r="G61" s="244">
        <f>IFERROR(SUMIFS(FifthYearP,Participants2,A61,InsitutionP,A57),"")</f>
        <v>0</v>
      </c>
      <c r="H61" s="244">
        <f>IFERROR(SUMIFS(SixthYearP,Participants2,A61,InsitutionP,A57),"")</f>
        <v>0</v>
      </c>
      <c r="I61" s="244">
        <f>IFERROR(SUMIFS(SeventhYearP,Participants2,A61,InsitutionP,A57),"")</f>
        <v>0</v>
      </c>
      <c r="J61" s="367">
        <f>IFERROR(SUMIFS(EighthYearP,Participants2,A61,InsitutionP,A57),"")</f>
        <v>0</v>
      </c>
      <c r="K61" s="367">
        <f>IFERROR(SUMIFS(NinthYearP,Participants2,A61,InsitutionP,A57),"")</f>
        <v>0</v>
      </c>
      <c r="L61" s="247">
        <f>IFERROR(SUMIFS(CoFinancingP,Participants2,A61,InsitutionP,A57),"")</f>
        <v>0</v>
      </c>
      <c r="M61" s="248">
        <f>IFERROR(SUMIFS(OtherP,Participants2,A61,InsitutionP,A57),"")</f>
        <v>0</v>
      </c>
      <c r="O61" s="176" t="s">
        <v>784</v>
      </c>
      <c r="P61" s="335" t="str">
        <f t="shared" si="113"/>
        <v/>
      </c>
      <c r="Q61" s="244">
        <f>IFERROR(SUMIFS(FirstYearP,Participants2,O61,InsitutionP,O57),"")</f>
        <v>0</v>
      </c>
      <c r="R61" s="244">
        <f>IFERROR(SUMIFS(SecondYearP,Participants2,O61,InsitutionP,O57),"")</f>
        <v>0</v>
      </c>
      <c r="S61" s="244">
        <f>IFERROR(SUMIFS(ThirdYearP,Participants2,O61,InsitutionP,O57),"")</f>
        <v>0</v>
      </c>
      <c r="T61" s="244">
        <f>IFERROR(SUMIFS(FourthYearP,Participants2,O61,InsitutionP,O57),"")</f>
        <v>0</v>
      </c>
      <c r="U61" s="244">
        <f>IFERROR(SUMIFS(FifthYearP,Participants2,O61,InsitutionP,O57),"")</f>
        <v>0</v>
      </c>
      <c r="V61" s="244">
        <f>IFERROR(SUMIFS(SixthYearP,Participants2,O61,InsitutionP,O57),"")</f>
        <v>0</v>
      </c>
      <c r="W61" s="244">
        <f>IFERROR(SUMIFS(SeventhYearP,Participants2,O61,InsitutionP,O57),"")</f>
        <v>0</v>
      </c>
      <c r="X61" s="367">
        <f>IFERROR(SUMIFS(EighthYearP,Participants2,O61,InsitutionP,O57),"")</f>
        <v>0</v>
      </c>
      <c r="Y61" s="367">
        <f>IFERROR(SUMIFS(NinthYearP,Participants2,O61,InsitutionP,O57),"")</f>
        <v>0</v>
      </c>
      <c r="Z61" s="247">
        <f>IFERROR(SUMIFS(CoFinancingP,Participants2,O61,InsitutionP,O57),"")</f>
        <v>0</v>
      </c>
      <c r="AA61" s="248">
        <f>IFERROR(SUMIFS(OtherP,Participants2,O61,InsitutionP,O57),"")</f>
        <v>0</v>
      </c>
    </row>
    <row r="62" spans="1:27" ht="15.75" thickBot="1" x14ac:dyDescent="0.3">
      <c r="A62" s="176" t="s">
        <v>799</v>
      </c>
      <c r="B62" s="336" t="str">
        <f t="shared" si="112"/>
        <v/>
      </c>
      <c r="C62" s="244">
        <f>IFERROR(SUMIFS(FirstYearP,Participants2,A62,InsitutionP,A57),"")</f>
        <v>0</v>
      </c>
      <c r="D62" s="244">
        <f>IFERROR(SUMIFS(SecondYearP,Participants2,A62,InsitutionP,A57),"")</f>
        <v>0</v>
      </c>
      <c r="E62" s="244">
        <f>IFERROR(SUMIFS(ThirdYearP,Participants2,A62,InsitutionP,A57),"")</f>
        <v>0</v>
      </c>
      <c r="F62" s="244">
        <f>IFERROR(SUMIFS(FourthYearP,Participants2,A62,InsitutionP,A57),"")</f>
        <v>0</v>
      </c>
      <c r="G62" s="244">
        <f>IFERROR(SUMIFS(FifthYearP,Participants2,A62,InsitutionP,A57),"")</f>
        <v>0</v>
      </c>
      <c r="H62" s="244">
        <f>IFERROR(SUMIFS(SixthYearP,Participants2,A62,InsitutionP,A57),"")</f>
        <v>0</v>
      </c>
      <c r="I62" s="244">
        <f>IFERROR(SUMIFS(SeventhYearP,Participants2,A62,InsitutionP,A57),"")</f>
        <v>0</v>
      </c>
      <c r="J62" s="367">
        <f>IFERROR(SUMIFS(EighthYearP,Participants2,A62,InsitutionP,A57),"")</f>
        <v>0</v>
      </c>
      <c r="K62" s="367">
        <f>IFERROR(SUMIFS(NinthYearP,Participants2,A62,InsitutionP,A57),"")</f>
        <v>0</v>
      </c>
      <c r="L62" s="247">
        <f>IFERROR(SUMIFS(CoFinancingP,Participants2,A62,InsitutionP,A57),"")</f>
        <v>0</v>
      </c>
      <c r="M62" s="248">
        <f>IFERROR(SUMIFS(OtherP,Participants2,A62,InsitutionP,A57),"")</f>
        <v>0</v>
      </c>
      <c r="O62" s="176" t="s">
        <v>799</v>
      </c>
      <c r="P62" s="336" t="str">
        <f t="shared" si="113"/>
        <v/>
      </c>
      <c r="Q62" s="244">
        <f>IFERROR(SUMIFS(FirstYearP,Participants2,O62,InsitutionP,O57),"")</f>
        <v>0</v>
      </c>
      <c r="R62" s="244">
        <f>IFERROR(SUMIFS(SecondYearP,Participants2,O62,InsitutionP,O57),"")</f>
        <v>0</v>
      </c>
      <c r="S62" s="244">
        <f>IFERROR(SUMIFS(ThirdYearP,Participants2,O62,InsitutionP,O57),"")</f>
        <v>0</v>
      </c>
      <c r="T62" s="244">
        <f>IFERROR(SUMIFS(FourthYearP,Participants2,O62,InsitutionP,O57),"")</f>
        <v>0</v>
      </c>
      <c r="U62" s="244">
        <f>IFERROR(SUMIFS(FifthYearP,Participants2,O62,InsitutionP,O57),"")</f>
        <v>0</v>
      </c>
      <c r="V62" s="244">
        <f>IFERROR(SUMIFS(SixthYearP,Participants2,O62,InsitutionP,O57),"")</f>
        <v>0</v>
      </c>
      <c r="W62" s="244">
        <f>IFERROR(SUMIFS(SeventhYearP,Participants2,O62,InsitutionP,O57),"")</f>
        <v>0</v>
      </c>
      <c r="X62" s="367">
        <f>IFERROR(SUMIFS(EighthYearP,Participants2,O62,InsitutionP,O57),"")</f>
        <v>0</v>
      </c>
      <c r="Y62" s="367">
        <f>IFERROR(SUMIFS(NinthYearP,Participants2,O62,InsitutionP,O57),"")</f>
        <v>0</v>
      </c>
      <c r="Z62" s="247">
        <f>IFERROR(SUMIFS(CoFinancingP,Participants2,O62,InsitutionP,O57),"")</f>
        <v>0</v>
      </c>
      <c r="AA62" s="248">
        <f>IFERROR(SUMIFS(OtherP,Participants2,O62,InsitutionP,O57),"")</f>
        <v>0</v>
      </c>
    </row>
    <row r="63" spans="1:27" x14ac:dyDescent="0.25">
      <c r="A63" s="177" t="s">
        <v>786</v>
      </c>
      <c r="B63" s="334" t="str">
        <f t="shared" si="112"/>
        <v/>
      </c>
      <c r="C63" s="212" t="str">
        <f>IFERROR(IF(SUM(C59:C62)=0, "", SUM(C59:C62)),"")</f>
        <v/>
      </c>
      <c r="D63" s="212" t="str">
        <f t="shared" ref="D63" si="114">IFERROR(IF(SUM(D59:D62)=0, "", SUM(D59:D62)),"")</f>
        <v/>
      </c>
      <c r="E63" s="212" t="str">
        <f t="shared" ref="E63" si="115">IFERROR(IF(SUM(E59:E62)=0, "", SUM(E59:E62)),"")</f>
        <v/>
      </c>
      <c r="F63" s="212" t="str">
        <f t="shared" ref="F63" si="116">IFERROR(IF(SUM(F59:F62)=0, "", SUM(F59:F62)),"")</f>
        <v/>
      </c>
      <c r="G63" s="212" t="str">
        <f t="shared" ref="G63" si="117">IFERROR(IF(SUM(G59:G62)=0, "", SUM(G59:G62)),"")</f>
        <v/>
      </c>
      <c r="H63" s="212" t="str">
        <f t="shared" ref="H63" si="118">IFERROR(IF(SUM(H59:H62)=0, "", SUM(H59:H62)),"")</f>
        <v/>
      </c>
      <c r="I63" s="212" t="str">
        <f t="shared" ref="I63:K63" si="119">IFERROR(IF(SUM(I59:I62)=0, "", SUM(I59:I62)),"")</f>
        <v/>
      </c>
      <c r="J63" s="365" t="str">
        <f t="shared" si="119"/>
        <v/>
      </c>
      <c r="K63" s="365" t="str">
        <f t="shared" si="119"/>
        <v/>
      </c>
      <c r="L63" s="223" t="str">
        <f>IFERROR(IF(SUM(L59:L62)=0, "", SUM(L59:L62)),"")</f>
        <v/>
      </c>
      <c r="M63" s="224" t="str">
        <f>IFERROR(IF(SUM(M59:M62)=0, "", SUM(M59:M62)),"")</f>
        <v/>
      </c>
      <c r="O63" s="177" t="s">
        <v>786</v>
      </c>
      <c r="P63" s="334" t="str">
        <f t="shared" si="113"/>
        <v/>
      </c>
      <c r="Q63" s="212" t="str">
        <f>IFERROR(IF(SUM(Q59:Q62)=0, "", SUM(Q59:Q62)),"")</f>
        <v/>
      </c>
      <c r="R63" s="212" t="str">
        <f t="shared" ref="R63" si="120">IFERROR(IF(SUM(R59:R62)=0, "", SUM(R59:R62)),"")</f>
        <v/>
      </c>
      <c r="S63" s="212" t="str">
        <f t="shared" ref="S63" si="121">IFERROR(IF(SUM(S59:S62)=0, "", SUM(S59:S62)),"")</f>
        <v/>
      </c>
      <c r="T63" s="212" t="str">
        <f t="shared" ref="T63" si="122">IFERROR(IF(SUM(T59:T62)=0, "", SUM(T59:T62)),"")</f>
        <v/>
      </c>
      <c r="U63" s="212" t="str">
        <f t="shared" ref="U63" si="123">IFERROR(IF(SUM(U59:U62)=0, "", SUM(U59:U62)),"")</f>
        <v/>
      </c>
      <c r="V63" s="212" t="str">
        <f t="shared" ref="V63" si="124">IFERROR(IF(SUM(V59:V62)=0, "", SUM(V59:V62)),"")</f>
        <v/>
      </c>
      <c r="W63" s="212" t="str">
        <f t="shared" ref="W63:Y63" si="125">IFERROR(IF(SUM(W59:W62)=0, "", SUM(W59:W62)),"")</f>
        <v/>
      </c>
      <c r="X63" s="365" t="str">
        <f t="shared" si="125"/>
        <v/>
      </c>
      <c r="Y63" s="365" t="str">
        <f t="shared" si="125"/>
        <v/>
      </c>
      <c r="Z63" s="223" t="str">
        <f>IFERROR(IF(SUM(Z59:Z62)=0, "", SUM(Z59:Z62)),"")</f>
        <v/>
      </c>
      <c r="AA63" s="224" t="str">
        <f>IFERROR(IF(SUM(AA59:AA62)=0, "", SUM(AA59:AA62)),"")</f>
        <v/>
      </c>
    </row>
    <row r="64" spans="1:27" ht="25.5" x14ac:dyDescent="0.25">
      <c r="A64" s="178" t="s">
        <v>850</v>
      </c>
      <c r="B64" s="337" t="str">
        <f t="shared" si="112"/>
        <v/>
      </c>
      <c r="C64" s="218">
        <f>IFERROR(SUMIFS(FirstYearP,Participants2,A64,InsitutionP,A57),"")</f>
        <v>0</v>
      </c>
      <c r="D64" s="218">
        <f>IFERROR(SUMIFS(SecondYearP,Participants2,A64,InsitutionP,A57),"")</f>
        <v>0</v>
      </c>
      <c r="E64" s="218">
        <f>IFERROR(SUMIFS(ThirdYearP,Participants2,A64,InsitutionP,A57),"")</f>
        <v>0</v>
      </c>
      <c r="F64" s="218">
        <f>IFERROR(SUMIFS(FourthYearP,Participants2,A64,InsitutionP,A57),"")</f>
        <v>0</v>
      </c>
      <c r="G64" s="219">
        <f>IFERROR(SUMIFS(FifthYearP,Participants2,A64,InsitutionP,A57),"")</f>
        <v>0</v>
      </c>
      <c r="H64" s="219">
        <f>IFERROR(SUMIFS(SixthYearP,Participants2,A64,InsitutionP,A57),"")</f>
        <v>0</v>
      </c>
      <c r="I64" s="220">
        <f>IFERROR(SUMIFS(SeventhYearP,Participants2,A64,InsitutionP,A57),"")</f>
        <v>0</v>
      </c>
      <c r="J64" s="219">
        <f>IFERROR(SUMIFS(EighthYearP,Participants2,A64,InsitutionP,A57),"")</f>
        <v>0</v>
      </c>
      <c r="K64" s="219">
        <f>IFERROR(SUMIFS(NinthYearP,Participants2,A64,InsitutionP,A57),"")</f>
        <v>0</v>
      </c>
      <c r="L64" s="221">
        <f>IFERROR(SUMIFS(CoFinancingP,Participants2,A64,InsitutionP,A57),"")</f>
        <v>0</v>
      </c>
      <c r="M64" s="222">
        <f>IFERROR(SUMIFS(OtherP,Participants2,A64,InsitutionP,A57),"")</f>
        <v>0</v>
      </c>
      <c r="O64" s="178" t="s">
        <v>850</v>
      </c>
      <c r="P64" s="337" t="str">
        <f t="shared" si="113"/>
        <v/>
      </c>
      <c r="Q64" s="218">
        <f>IFERROR(SUMIFS(FirstYearP,Participants2,O64,InsitutionP,O57),"")</f>
        <v>0</v>
      </c>
      <c r="R64" s="218">
        <f>IFERROR(SUMIFS(SecondYearP,Participants2,O64,InsitutionP,O57),"")</f>
        <v>0</v>
      </c>
      <c r="S64" s="218">
        <f>IFERROR(SUMIFS(ThirdYearP,Participants2,O64,InsitutionP,O57),"")</f>
        <v>0</v>
      </c>
      <c r="T64" s="218">
        <f>IFERROR(SUMIFS(FourthYearP,Participants2,O64,InsitutionP,O57),"")</f>
        <v>0</v>
      </c>
      <c r="U64" s="219">
        <f>IFERROR(SUMIFS(FifthYearP,Participants2,O64,InsitutionP,O57),"")</f>
        <v>0</v>
      </c>
      <c r="V64" s="219">
        <f>IFERROR(SUMIFS(SixthYearP,Participants2,O64,InsitutionP,O57),"")</f>
        <v>0</v>
      </c>
      <c r="W64" s="220">
        <f>IFERROR(SUMIFS(SeventhYearP,Participants2,O64,InsitutionP,O57),"")</f>
        <v>0</v>
      </c>
      <c r="X64" s="219">
        <f>IFERROR(SUMIFS(EighthYearP,Participants2,O64,InsitutionP,O57),"")</f>
        <v>0</v>
      </c>
      <c r="Y64" s="219">
        <f>IFERROR(SUMIFS(NinthYearP,Participants2,O64,InsitutionP,O57),"")</f>
        <v>0</v>
      </c>
      <c r="Z64" s="221">
        <f>IFERROR(SUMIFS(CoFinancingP,Participants2,O64,InsitutionP,O57),"")</f>
        <v>0</v>
      </c>
      <c r="AA64" s="222">
        <f>IFERROR(SUMIFS(OtherP,Participants2,O64,InsitutionP,O57),"")</f>
        <v>0</v>
      </c>
    </row>
    <row r="65" spans="1:27" x14ac:dyDescent="0.25">
      <c r="A65" s="178" t="s">
        <v>29</v>
      </c>
      <c r="B65" s="217" t="str">
        <f t="shared" si="112"/>
        <v/>
      </c>
      <c r="C65" s="218">
        <f>IFERROR(SUMIFS(FirstYearE,Expenses,A65,InsitutionE,A57),"")</f>
        <v>0</v>
      </c>
      <c r="D65" s="218">
        <f>IFERROR(SUMIFS(SecondYearE,Expenses,A65,InsitutionE,A57),"")</f>
        <v>0</v>
      </c>
      <c r="E65" s="218">
        <f>IFERROR(SUMIFS(ThirdYearE,Expenses,A65,InsitutionE,A57),"")</f>
        <v>0</v>
      </c>
      <c r="F65" s="218">
        <f>IFERROR(SUMIFS(FourthYearE,Expenses,A65,InsitutionE,A57),"")</f>
        <v>0</v>
      </c>
      <c r="G65" s="219">
        <f>IFERROR(SUMIFS(FifthYearE,Expenses,A65,InsitutionE,A57),"")</f>
        <v>0</v>
      </c>
      <c r="H65" s="219">
        <f>IFERROR(SUMIFS(SixthYearE,Expenses,A65,InsitutionE,A57),"")</f>
        <v>0</v>
      </c>
      <c r="I65" s="220">
        <f>IFERROR(SUMIFS(SeventhYearE,Expenses,A65,InsitutionE,A57),"")</f>
        <v>0</v>
      </c>
      <c r="J65" s="219">
        <f>IFERROR(SUMIFS(EightYearE,Expenses,A65,InsitutionE,A57),"")</f>
        <v>0</v>
      </c>
      <c r="K65" s="219">
        <f>IFERROR(SUMIFS(NinthYearE,Expenses,A65,InsitutionE,A57),"")</f>
        <v>0</v>
      </c>
      <c r="L65" s="221">
        <f>IFERROR(SUMIFS(CoFinancingE,Expenses,A65,InsitutionE,A57),"")</f>
        <v>0</v>
      </c>
      <c r="M65" s="222">
        <f>IFERROR(SUMIFS(OtherE,Expenses,A65,InsitutionE,A57),"")</f>
        <v>0</v>
      </c>
      <c r="O65" s="178" t="s">
        <v>29</v>
      </c>
      <c r="P65" s="217" t="str">
        <f t="shared" si="113"/>
        <v/>
      </c>
      <c r="Q65" s="218">
        <f>IFERROR(SUMIFS(FirstYearE,Expenses,O65,InsitutionE,O57),"")</f>
        <v>0</v>
      </c>
      <c r="R65" s="218">
        <f>IFERROR(SUMIFS(SecondYearE,Expenses,O65,InsitutionE,O57),"")</f>
        <v>0</v>
      </c>
      <c r="S65" s="218">
        <f>IFERROR(SUMIFS(ThirdYearE,Expenses,O65,InsitutionE,O57),"")</f>
        <v>0</v>
      </c>
      <c r="T65" s="218">
        <f>IFERROR(SUMIFS(FourthYearE,Expenses,O65,InsitutionE,O57),"")</f>
        <v>0</v>
      </c>
      <c r="U65" s="219">
        <f>IFERROR(SUMIFS(FifthYearE,Expenses,O65,InsitutionE,O57),"")</f>
        <v>0</v>
      </c>
      <c r="V65" s="219">
        <f>IFERROR(SUMIFS(SixthYearE,Expenses,O65,InsitutionE,O57),"")</f>
        <v>0</v>
      </c>
      <c r="W65" s="220">
        <f>IFERROR(SUMIFS(SeventhYearE,Expenses,O65,InsitutionE,O57),"")</f>
        <v>0</v>
      </c>
      <c r="X65" s="219">
        <f>IFERROR(SUMIFS(EightYearE,Expenses,O65,InsitutionE,O57),"")</f>
        <v>0</v>
      </c>
      <c r="Y65" s="219">
        <f>IFERROR(SUMIFS(NinthYearE,Expenses,O65,InsitutionE,O57),"")</f>
        <v>0</v>
      </c>
      <c r="Z65" s="221">
        <f>IFERROR(SUMIFS(CoFinancingE,Expenses,O65,InsitutionE,O57),"")</f>
        <v>0</v>
      </c>
      <c r="AA65" s="222">
        <f>IFERROR(SUMIFS(OtherE,Expenses,O65,InsitutionE,O57),"")</f>
        <v>0</v>
      </c>
    </row>
    <row r="66" spans="1:27" ht="15.75" thickBot="1" x14ac:dyDescent="0.3">
      <c r="A66" s="178" t="s">
        <v>39</v>
      </c>
      <c r="B66" s="217" t="str">
        <f t="shared" si="112"/>
        <v/>
      </c>
      <c r="C66" s="218">
        <f>IFERROR(SUMIFS(FirstYearE,Expenses,A66,InsitutionE,A57),"")</f>
        <v>0</v>
      </c>
      <c r="D66" s="218">
        <f>IFERROR(SUMIFS(SecondYearE,Expenses,A66,InsitutionE,A57),"")</f>
        <v>0</v>
      </c>
      <c r="E66" s="218">
        <f>IFERROR(SUMIFS(ThirdYearE,Expenses,A66,InsitutionE,A57),"")</f>
        <v>0</v>
      </c>
      <c r="F66" s="218">
        <f>IFERROR(SUMIFS(FourthYearE,Expenses,A66,InsitutionE,A57),"")</f>
        <v>0</v>
      </c>
      <c r="G66" s="219">
        <f>IFERROR(SUMIFS(FifthYearE,Expenses,A66,InsitutionE,A57),"")</f>
        <v>0</v>
      </c>
      <c r="H66" s="219">
        <f>IFERROR(SUMIFS(SixthYearE,Expenses,A66,InsitutionE,A57),"")</f>
        <v>0</v>
      </c>
      <c r="I66" s="220">
        <f>IFERROR(SUMIFS(SeventhYearE,Expenses,A66,InsitutionE,A57),"")</f>
        <v>0</v>
      </c>
      <c r="J66" s="219">
        <f>IFERROR(SUMIFS(EightYearE,Expenses,A66,InsitutionE,A57),"")</f>
        <v>0</v>
      </c>
      <c r="K66" s="219">
        <f>IFERROR(SUMIFS(NinthYearE,Expenses,A66,InsitutionE,A57),"")</f>
        <v>0</v>
      </c>
      <c r="L66" s="221">
        <f>IFERROR(SUMIFS(CoFinancingE,Expenses,A66,InsitutionE,A57),"")</f>
        <v>0</v>
      </c>
      <c r="M66" s="222">
        <f>IFERROR(SUMIFS(OtherE,Expenses,A66,InsitutionE,A57),"")</f>
        <v>0</v>
      </c>
      <c r="O66" s="178" t="s">
        <v>39</v>
      </c>
      <c r="P66" s="217" t="str">
        <f t="shared" si="113"/>
        <v/>
      </c>
      <c r="Q66" s="218">
        <f>IFERROR(SUMIFS(FirstYearE,Expenses,O66,InsitutionE,O57),"")</f>
        <v>0</v>
      </c>
      <c r="R66" s="218">
        <f>IFERROR(SUMIFS(SecondYearE,Expenses,O66,InsitutionE,O57),"")</f>
        <v>0</v>
      </c>
      <c r="S66" s="218">
        <f>IFERROR(SUMIFS(ThirdYearE,Expenses,O66,InsitutionE,O57),"")</f>
        <v>0</v>
      </c>
      <c r="T66" s="218">
        <f>IFERROR(SUMIFS(FourthYearE,Expenses,O66,InsitutionE,O57),"")</f>
        <v>0</v>
      </c>
      <c r="U66" s="219">
        <f>IFERROR(SUMIFS(FifthYearE,Expenses,O66,InsitutionE,O57),"")</f>
        <v>0</v>
      </c>
      <c r="V66" s="219">
        <f>IFERROR(SUMIFS(SixthYearE,Expenses,O66,InsitutionE,O57),"")</f>
        <v>0</v>
      </c>
      <c r="W66" s="220">
        <f>IFERROR(SUMIFS(SeventhYearE,Expenses,O66,InsitutionE,O57),"")</f>
        <v>0</v>
      </c>
      <c r="X66" s="219">
        <f>IFERROR(SUMIFS(EightYearE,Expenses,O66,InsitutionE,O57),"")</f>
        <v>0</v>
      </c>
      <c r="Y66" s="219">
        <f>IFERROR(SUMIFS(NinthYearE,Expenses,O66,InsitutionE,O57),"")</f>
        <v>0</v>
      </c>
      <c r="Z66" s="221">
        <f>IFERROR(SUMIFS(CoFinancingE,Expenses,O66,InsitutionE,O57),"")</f>
        <v>0</v>
      </c>
      <c r="AA66" s="222">
        <f>IFERROR(SUMIFS(OtherE,Expenses,O66,InsitutionE,O57),"")</f>
        <v>0</v>
      </c>
    </row>
    <row r="67" spans="1:27" ht="15.75" thickBot="1" x14ac:dyDescent="0.3">
      <c r="A67" s="177" t="s">
        <v>817</v>
      </c>
      <c r="B67" s="338" t="str">
        <f t="shared" si="112"/>
        <v/>
      </c>
      <c r="C67" s="212" t="str">
        <f>IFERROR(IF(SUM(C63:C66)=0, "", ROUND(SUM(C63:C66),0)),"")</f>
        <v/>
      </c>
      <c r="D67" s="365" t="str">
        <f t="shared" ref="D67:H67" si="126">IFERROR(IF(SUM(D63:D66)=0, "", ROUND(SUM(D63:D66),0)),"")</f>
        <v/>
      </c>
      <c r="E67" s="365" t="str">
        <f t="shared" si="126"/>
        <v/>
      </c>
      <c r="F67" s="365" t="str">
        <f t="shared" si="126"/>
        <v/>
      </c>
      <c r="G67" s="365" t="str">
        <f t="shared" si="126"/>
        <v/>
      </c>
      <c r="H67" s="365" t="str">
        <f t="shared" si="126"/>
        <v/>
      </c>
      <c r="I67" s="365" t="str">
        <f>IFERROR(IF(SUM(I63:I66)=0, "", ROUND(SUM(I63:I66),0)),"")</f>
        <v/>
      </c>
      <c r="J67" s="365" t="str">
        <f t="shared" ref="J67:K67" si="127">IFERROR(IF(SUM(J63:J66)=0, "", ROUND(SUM(J63:J66),0)),"")</f>
        <v/>
      </c>
      <c r="K67" s="365" t="str">
        <f t="shared" si="127"/>
        <v/>
      </c>
      <c r="L67" s="225" t="str">
        <f>IFERROR(IF(SUM(L63:L66)=0, "", ROUND(SUM(L63:L66),0)),"")</f>
        <v/>
      </c>
      <c r="M67" s="226" t="str">
        <f>IFERROR(IF(SUM(M63:M66)=0, "", ROUND(SUM(M63:M66),0)),"")</f>
        <v/>
      </c>
      <c r="O67" s="177" t="s">
        <v>817</v>
      </c>
      <c r="P67" s="338" t="str">
        <f t="shared" si="113"/>
        <v/>
      </c>
      <c r="Q67" s="212" t="str">
        <f>IFERROR(IF(SUM(Q63:Q66)=0, "", ROUND(SUM(Q63:Q66),0)),"")</f>
        <v/>
      </c>
      <c r="R67" s="365" t="str">
        <f t="shared" ref="R67:V67" si="128">IFERROR(IF(SUM(R63:R66)=0, "", ROUND(SUM(R63:R66),0)),"")</f>
        <v/>
      </c>
      <c r="S67" s="365" t="str">
        <f t="shared" si="128"/>
        <v/>
      </c>
      <c r="T67" s="365" t="str">
        <f t="shared" si="128"/>
        <v/>
      </c>
      <c r="U67" s="365" t="str">
        <f t="shared" si="128"/>
        <v/>
      </c>
      <c r="V67" s="365" t="str">
        <f t="shared" si="128"/>
        <v/>
      </c>
      <c r="W67" s="365" t="str">
        <f>IFERROR(IF(SUM(W63:W66)=0, "", ROUND(SUM(W63:W66),0)),"")</f>
        <v/>
      </c>
      <c r="X67" s="365" t="str">
        <f t="shared" ref="X67:Y67" si="129">IFERROR(IF(SUM(X63:X66)=0, "", ROUND(SUM(X63:X66),0)),"")</f>
        <v/>
      </c>
      <c r="Y67" s="365" t="str">
        <f t="shared" si="129"/>
        <v/>
      </c>
      <c r="Z67" s="225" t="str">
        <f>IFERROR(IF(SUM(Z63:Z66)=0, "", ROUND(SUM(Z63:Z66),0)),"")</f>
        <v/>
      </c>
      <c r="AA67" s="226" t="str">
        <f>IFERROR(IF(SUM(AA63:AA66)=0, "", ROUND(SUM(AA63:AA66),0)),"")</f>
        <v/>
      </c>
    </row>
    <row r="68" spans="1:27" ht="15.75" thickBot="1" x14ac:dyDescent="0.3">
      <c r="A68" s="178" t="s">
        <v>13</v>
      </c>
      <c r="B68" s="339" t="str">
        <f t="shared" si="112"/>
        <v/>
      </c>
      <c r="C68" s="341" t="str">
        <f>IFERROR(IF(Budget!$S$14="", "",ROUND(Budget!$S$14*C67,0)),"")</f>
        <v/>
      </c>
      <c r="D68" s="341" t="str">
        <f>IFERROR(IF(Budget!$S$14="", "",ROUND(Budget!$S$14*D67,0)),"")</f>
        <v/>
      </c>
      <c r="E68" s="341" t="str">
        <f>IFERROR(IF(Budget!$S$14="", "",ROUND(Budget!$S$14*E67,0)),"")</f>
        <v/>
      </c>
      <c r="F68" s="341" t="str">
        <f>IFERROR(IF(Budget!$S$14="", "",ROUND(Budget!$S$14*F67,0)),"")</f>
        <v/>
      </c>
      <c r="G68" s="341" t="str">
        <f>IFERROR(IF(Budget!$S$14="", "",ROUND(Budget!$S$14*G67,0)),"")</f>
        <v/>
      </c>
      <c r="H68" s="341" t="str">
        <f>IFERROR(IF(Budget!$S$14="", "",ROUND(Budget!$S$14*H67,0)),"")</f>
        <v/>
      </c>
      <c r="I68" s="416" t="str">
        <f>IFERROR(IF(Budget!$S$14="", "",ROUND(Budget!$S$14*I67,0)),"")</f>
        <v/>
      </c>
      <c r="J68" s="422" t="str">
        <f>IFERROR(IF(Budget!$S$14="", "",ROUND(Budget!$S$14*J67,0)),"")</f>
        <v/>
      </c>
      <c r="K68" s="423" t="str">
        <f>IFERROR(IF(Budget!$S$14="", "",ROUND(Budget!$S$14*K67,0)),"")</f>
        <v/>
      </c>
      <c r="L68" s="227"/>
      <c r="M68" s="227"/>
      <c r="O68" s="178" t="s">
        <v>13</v>
      </c>
      <c r="P68" s="339" t="str">
        <f t="shared" si="113"/>
        <v/>
      </c>
      <c r="Q68" s="341" t="str">
        <f>IFERROR(IF(Budget!$U$14="", "",ROUND(Budget!$U$14*Q67,0)),"")</f>
        <v/>
      </c>
      <c r="R68" s="341" t="str">
        <f>IFERROR(IF(Budget!$U$14="", "",ROUND(Budget!$U$14*R67,0)),"")</f>
        <v/>
      </c>
      <c r="S68" s="341" t="str">
        <f>IFERROR(IF(Budget!$U$14="", "",ROUND(Budget!$U$14*S67,0)),"")</f>
        <v/>
      </c>
      <c r="T68" s="341" t="str">
        <f>IFERROR(IF(Budget!$U$14="", "",ROUND(Budget!$U$14*T67,0)),"")</f>
        <v/>
      </c>
      <c r="U68" s="341" t="str">
        <f>IFERROR(IF(Budget!$U$14="", "",ROUND(Budget!$U$14*U67,0)),"")</f>
        <v/>
      </c>
      <c r="V68" s="341" t="str">
        <f>IFERROR(IF(Budget!$U$14="", "",ROUND(Budget!$U$14*V67,0)),"")</f>
        <v/>
      </c>
      <c r="W68" s="416" t="str">
        <f>IFERROR(IF(Budget!$U$14="", "",ROUND(Budget!$U$14*W67,0)),"")</f>
        <v/>
      </c>
      <c r="X68" s="422" t="str">
        <f>IFERROR(IF(Budget!$U$14="", "",ROUND(Budget!$U$14*X67,0)),"")</f>
        <v/>
      </c>
      <c r="Y68" s="423" t="str">
        <f>IFERROR(IF(Budget!$U$14="", "",ROUND(Budget!$U$14*Y67,0)),"")</f>
        <v/>
      </c>
      <c r="Z68" s="227"/>
      <c r="AA68" s="227"/>
    </row>
    <row r="69" spans="1:27" ht="15.75" thickBot="1" x14ac:dyDescent="0.3">
      <c r="A69" s="179" t="s">
        <v>809</v>
      </c>
      <c r="B69" s="340" t="str">
        <f t="shared" si="112"/>
        <v/>
      </c>
      <c r="C69" s="228" t="str">
        <f>IFERROR(IF(SUM(C67:C68)=0, "", SUM(C67:C68)),"")</f>
        <v/>
      </c>
      <c r="D69" s="228" t="str">
        <f t="shared" ref="D69" si="130">IFERROR(IF(SUM(D67:D68)=0, "", SUM(D67:D68)),"")</f>
        <v/>
      </c>
      <c r="E69" s="228" t="str">
        <f t="shared" ref="E69" si="131">IFERROR(IF(SUM(E67:E68)=0, "", SUM(E67:E68)),"")</f>
        <v/>
      </c>
      <c r="F69" s="228" t="str">
        <f t="shared" ref="F69" si="132">IFERROR(IF(SUM(F67:F68)=0, "", SUM(F67:F68)),"")</f>
        <v/>
      </c>
      <c r="G69" s="228" t="str">
        <f t="shared" ref="G69" si="133">IFERROR(IF(SUM(G67:G68)=0, "", SUM(G67:G68)),"")</f>
        <v/>
      </c>
      <c r="H69" s="228" t="str">
        <f t="shared" ref="H69" si="134">IFERROR(IF(SUM(H67:H68)=0, "", SUM(H67:H68)),"")</f>
        <v/>
      </c>
      <c r="I69" s="229" t="str">
        <f t="shared" ref="I69:K69" si="135">IFERROR(IF(SUM(I67:I68)=0, "", SUM(I67:I68)),"")</f>
        <v/>
      </c>
      <c r="J69" s="379" t="str">
        <f t="shared" si="135"/>
        <v/>
      </c>
      <c r="K69" s="418" t="str">
        <f t="shared" si="135"/>
        <v/>
      </c>
      <c r="L69" s="227"/>
      <c r="M69" s="227"/>
      <c r="O69" s="179" t="s">
        <v>809</v>
      </c>
      <c r="P69" s="340" t="str">
        <f t="shared" si="113"/>
        <v/>
      </c>
      <c r="Q69" s="228" t="str">
        <f>IFERROR(IF(SUM(Q67:Q68)=0, "", SUM(Q67:Q68)),"")</f>
        <v/>
      </c>
      <c r="R69" s="228" t="str">
        <f t="shared" ref="R69" si="136">IFERROR(IF(SUM(R67:R68)=0, "", SUM(R67:R68)),"")</f>
        <v/>
      </c>
      <c r="S69" s="228" t="str">
        <f t="shared" ref="S69" si="137">IFERROR(IF(SUM(S67:S68)=0, "", SUM(S67:S68)),"")</f>
        <v/>
      </c>
      <c r="T69" s="228" t="str">
        <f t="shared" ref="T69" si="138">IFERROR(IF(SUM(T67:T68)=0, "", SUM(T67:T68)),"")</f>
        <v/>
      </c>
      <c r="U69" s="228" t="str">
        <f t="shared" ref="U69" si="139">IFERROR(IF(SUM(U67:U68)=0, "", SUM(U67:U68)),"")</f>
        <v/>
      </c>
      <c r="V69" s="228" t="str">
        <f t="shared" ref="V69" si="140">IFERROR(IF(SUM(V67:V68)=0, "", SUM(V67:V68)),"")</f>
        <v/>
      </c>
      <c r="W69" s="229" t="str">
        <f t="shared" ref="W69:Y69" si="141">IFERROR(IF(SUM(W67:W68)=0, "", SUM(W67:W68)),"")</f>
        <v/>
      </c>
      <c r="X69" s="379" t="str">
        <f t="shared" si="141"/>
        <v/>
      </c>
      <c r="Y69" s="418" t="str">
        <f t="shared" si="141"/>
        <v/>
      </c>
      <c r="Z69" s="227"/>
      <c r="AA69" s="227"/>
    </row>
    <row r="70" spans="1:27" ht="15.75" thickBot="1" x14ac:dyDescent="0.3"/>
    <row r="71" spans="1:27" ht="19.5" thickBot="1" x14ac:dyDescent="0.35">
      <c r="A71" s="512" t="s">
        <v>740</v>
      </c>
      <c r="B71" s="513"/>
      <c r="C71" s="513"/>
      <c r="D71" s="513"/>
      <c r="E71" s="513"/>
      <c r="F71" s="513"/>
      <c r="G71" s="513"/>
      <c r="H71" s="513"/>
      <c r="I71" s="513"/>
      <c r="J71" s="513"/>
      <c r="K71" s="513"/>
      <c r="L71" s="513"/>
      <c r="M71" s="514"/>
    </row>
    <row r="72" spans="1:27" ht="26.25" thickBot="1" x14ac:dyDescent="0.3">
      <c r="A72" s="130" t="s">
        <v>825</v>
      </c>
      <c r="B72" s="388" t="s">
        <v>688</v>
      </c>
      <c r="C72" s="390">
        <f>FirstYear</f>
        <v>2021</v>
      </c>
      <c r="D72" s="390">
        <f>FirstYear+1</f>
        <v>2022</v>
      </c>
      <c r="E72" s="390">
        <f>FirstYear+2</f>
        <v>2023</v>
      </c>
      <c r="F72" s="390">
        <f>FirstYear+3</f>
        <v>2024</v>
      </c>
      <c r="G72" s="390">
        <f>FirstYear+4</f>
        <v>2025</v>
      </c>
      <c r="H72" s="390">
        <f>FirstYear+5</f>
        <v>2026</v>
      </c>
      <c r="I72" s="390">
        <f>FirstYear+6</f>
        <v>2027</v>
      </c>
      <c r="J72" s="390">
        <f>FirstYear+7</f>
        <v>2028</v>
      </c>
      <c r="K72" s="390">
        <f>FirstYear+8</f>
        <v>2029</v>
      </c>
      <c r="L72" s="391" t="s">
        <v>15</v>
      </c>
      <c r="M72" s="392" t="s">
        <v>689</v>
      </c>
    </row>
    <row r="73" spans="1:27" x14ac:dyDescent="0.25">
      <c r="A73" s="175" t="s">
        <v>783</v>
      </c>
      <c r="B73" s="334"/>
      <c r="C73" s="212"/>
      <c r="D73" s="212"/>
      <c r="E73" s="212"/>
      <c r="F73" s="212"/>
      <c r="G73" s="213"/>
      <c r="H73" s="213"/>
      <c r="I73" s="214"/>
      <c r="J73" s="213"/>
      <c r="K73" s="213"/>
      <c r="L73" s="215"/>
      <c r="M73" s="216"/>
    </row>
    <row r="74" spans="1:27" x14ac:dyDescent="0.25">
      <c r="A74" s="243" t="s">
        <v>798</v>
      </c>
      <c r="B74" s="335" t="str">
        <f t="shared" ref="B74:B83" si="142">IFERROR(IF(SUM(C74:K74)=0, "", SUM(C74:K74)),"")</f>
        <v/>
      </c>
      <c r="C74" s="244">
        <f>IFERROR(SUMIFS(FirstYearP,Participants2,A74,InsitutionP,A71),"")</f>
        <v>0</v>
      </c>
      <c r="D74" s="244">
        <f>IFERROR(SUMIFS(SecondYearP,Participants2,A74,InsitutionP,A71),"")</f>
        <v>0</v>
      </c>
      <c r="E74" s="244">
        <f>IFERROR(SUMIFS(ThirdYearP,Participants2,A74,InsitutionP,A71),"")</f>
        <v>0</v>
      </c>
      <c r="F74" s="244">
        <f>IFERROR(SUMIFS(FourthYearP,Participants2,A74,InsitutionP,A71),"")</f>
        <v>0</v>
      </c>
      <c r="G74" s="244">
        <f>IFERROR(SUMIFS(FifthYearP,Participants2,A74,InsitutionP,A71),"")</f>
        <v>0</v>
      </c>
      <c r="H74" s="244">
        <f>IFERROR(SUMIFS(SixthYearP,Participants2,A74,InsitutionP,A71),"")</f>
        <v>0</v>
      </c>
      <c r="I74" s="244">
        <f>IFERROR(SUMIFS(SeventhYearP,Participants2,A74,InsitutionP,A71),"")</f>
        <v>0</v>
      </c>
      <c r="J74" s="367">
        <f>IFERROR(SUMIFS(EighthYearP,Participants2,A74,InsitutionP,A71),"")</f>
        <v>0</v>
      </c>
      <c r="K74" s="367">
        <f>IFERROR(SUMIFS(NinthYearP,Participants2,A74,InsitutionP,A71),"")</f>
        <v>0</v>
      </c>
      <c r="L74" s="247">
        <f>IFERROR(SUMIFS(CoFinancingP,Participants2,A74,InsitutionP,A71),"")</f>
        <v>0</v>
      </c>
      <c r="M74" s="248">
        <f>IFERROR(SUMIFS(OtherP,Participants2,A74,InsitutionP,A71),"")</f>
        <v>0</v>
      </c>
    </row>
    <row r="75" spans="1:27" x14ac:dyDescent="0.25">
      <c r="A75" s="176" t="s">
        <v>784</v>
      </c>
      <c r="B75" s="335" t="str">
        <f t="shared" si="142"/>
        <v/>
      </c>
      <c r="C75" s="244">
        <f>IFERROR(SUMIFS(FirstYearP,Participants2,A75,InsitutionP,A71),"")</f>
        <v>0</v>
      </c>
      <c r="D75" s="244">
        <f>IFERROR(SUMIFS(SecondYearP,Participants2,A75,InsitutionP,A71),"")</f>
        <v>0</v>
      </c>
      <c r="E75" s="244">
        <f>IFERROR(SUMIFS(ThirdYearP,Participants2,A75,InsitutionP,A71),"")</f>
        <v>0</v>
      </c>
      <c r="F75" s="244">
        <f>IFERROR(SUMIFS(FourthYearP,Participants2,A75,InsitutionP,A71),"")</f>
        <v>0</v>
      </c>
      <c r="G75" s="244">
        <f>IFERROR(SUMIFS(FifthYearP,Participants2,A75,InsitutionP,A71),"")</f>
        <v>0</v>
      </c>
      <c r="H75" s="244">
        <f>IFERROR(SUMIFS(SixthYearP,Participants2,A75,InsitutionP,A71),"")</f>
        <v>0</v>
      </c>
      <c r="I75" s="244">
        <f>IFERROR(SUMIFS(SeventhYearP,Participants2,A75,InsitutionP,A71),"")</f>
        <v>0</v>
      </c>
      <c r="J75" s="367">
        <f>IFERROR(SUMIFS(EighthYearP,Participants2,A75,InsitutionP,A71),"")</f>
        <v>0</v>
      </c>
      <c r="K75" s="367">
        <f>IFERROR(SUMIFS(NinthYearP,Participants2,A75,InsitutionP,A71),"")</f>
        <v>0</v>
      </c>
      <c r="L75" s="247">
        <f>IFERROR(SUMIFS(CoFinancingP,Participants2,A75,InsitutionP,A71),"")</f>
        <v>0</v>
      </c>
      <c r="M75" s="248">
        <f>IFERROR(SUMIFS(OtherP,Participants2,A75,InsitutionP,A71),"")</f>
        <v>0</v>
      </c>
    </row>
    <row r="76" spans="1:27" ht="15.75" thickBot="1" x14ac:dyDescent="0.3">
      <c r="A76" s="176" t="s">
        <v>799</v>
      </c>
      <c r="B76" s="336" t="str">
        <f t="shared" si="142"/>
        <v/>
      </c>
      <c r="C76" s="244">
        <f>IFERROR(SUMIFS(FirstYearP,Participants2,A76,InsitutionP,A71),"")</f>
        <v>0</v>
      </c>
      <c r="D76" s="244">
        <f>IFERROR(SUMIFS(SecondYearP,Participants2,A76,InsitutionP,A71),"")</f>
        <v>0</v>
      </c>
      <c r="E76" s="244">
        <f>IFERROR(SUMIFS(ThirdYearP,Participants2,A76,InsitutionP,A71),"")</f>
        <v>0</v>
      </c>
      <c r="F76" s="244">
        <f>IFERROR(SUMIFS(FourthYearP,Participants2,A76,InsitutionP,A71),"")</f>
        <v>0</v>
      </c>
      <c r="G76" s="244">
        <f>IFERROR(SUMIFS(FifthYearP,Participants2,A76,InsitutionP,A71),"")</f>
        <v>0</v>
      </c>
      <c r="H76" s="244">
        <f>IFERROR(SUMIFS(SixthYearP,Participants2,A76,InsitutionP,A71),"")</f>
        <v>0</v>
      </c>
      <c r="I76" s="244">
        <f>IFERROR(SUMIFS(SeventhYearP,Participants2,A76,InsitutionP,A71),"")</f>
        <v>0</v>
      </c>
      <c r="J76" s="367">
        <f>IFERROR(SUMIFS(EighthYearP,Participants2,A76,InsitutionP,A71),"")</f>
        <v>0</v>
      </c>
      <c r="K76" s="367">
        <f>IFERROR(SUMIFS(NinthYearP,Participants2,A76,InsitutionP,A71),"")</f>
        <v>0</v>
      </c>
      <c r="L76" s="247">
        <f>IFERROR(SUMIFS(CoFinancingP,Participants2,A76,InsitutionP,A71),"")</f>
        <v>0</v>
      </c>
      <c r="M76" s="248">
        <f>IFERROR(SUMIFS(OtherP,Participants2,A76,InsitutionP,A71),"")</f>
        <v>0</v>
      </c>
    </row>
    <row r="77" spans="1:27" x14ac:dyDescent="0.25">
      <c r="A77" s="177" t="s">
        <v>786</v>
      </c>
      <c r="B77" s="334" t="str">
        <f t="shared" si="142"/>
        <v/>
      </c>
      <c r="C77" s="212" t="str">
        <f>IFERROR(IF(SUM(C73:C76)=0, "", SUM(C73:C76)),"")</f>
        <v/>
      </c>
      <c r="D77" s="212" t="str">
        <f t="shared" ref="D77" si="143">IFERROR(IF(SUM(D73:D76)=0, "", SUM(D73:D76)),"")</f>
        <v/>
      </c>
      <c r="E77" s="212" t="str">
        <f t="shared" ref="E77" si="144">IFERROR(IF(SUM(E73:E76)=0, "", SUM(E73:E76)),"")</f>
        <v/>
      </c>
      <c r="F77" s="212" t="str">
        <f t="shared" ref="F77" si="145">IFERROR(IF(SUM(F73:F76)=0, "", SUM(F73:F76)),"")</f>
        <v/>
      </c>
      <c r="G77" s="212" t="str">
        <f t="shared" ref="G77" si="146">IFERROR(IF(SUM(G73:G76)=0, "", SUM(G73:G76)),"")</f>
        <v/>
      </c>
      <c r="H77" s="212" t="str">
        <f t="shared" ref="H77" si="147">IFERROR(IF(SUM(H73:H76)=0, "", SUM(H73:H76)),"")</f>
        <v/>
      </c>
      <c r="I77" s="212" t="str">
        <f t="shared" ref="I77:K77" si="148">IFERROR(IF(SUM(I73:I76)=0, "", SUM(I73:I76)),"")</f>
        <v/>
      </c>
      <c r="J77" s="365" t="str">
        <f t="shared" si="148"/>
        <v/>
      </c>
      <c r="K77" s="365" t="str">
        <f t="shared" si="148"/>
        <v/>
      </c>
      <c r="L77" s="223" t="str">
        <f>IFERROR(IF(SUM(L73:L76)=0, "", SUM(L73:L76)),"")</f>
        <v/>
      </c>
      <c r="M77" s="224" t="str">
        <f>IFERROR(IF(SUM(M73:M76)=0, "", SUM(M73:M76)),"")</f>
        <v/>
      </c>
    </row>
    <row r="78" spans="1:27" ht="25.5" x14ac:dyDescent="0.25">
      <c r="A78" s="178" t="s">
        <v>850</v>
      </c>
      <c r="B78" s="337" t="str">
        <f t="shared" si="142"/>
        <v/>
      </c>
      <c r="C78" s="218">
        <f>IFERROR(SUMIFS(FirstYearP,Participants2,A78,InsitutionP,A71),"")</f>
        <v>0</v>
      </c>
      <c r="D78" s="218">
        <f>IFERROR(SUMIFS(SecondYearP,Participants2,A78,InsitutionP,A71),"")</f>
        <v>0</v>
      </c>
      <c r="E78" s="218">
        <f>IFERROR(SUMIFS(ThirdYearP,Participants2,A78,InsitutionP,A71),"")</f>
        <v>0</v>
      </c>
      <c r="F78" s="218">
        <f>IFERROR(SUMIFS(FourthYearP,Participants2,A78,InsitutionP,A71),"")</f>
        <v>0</v>
      </c>
      <c r="G78" s="219">
        <f>IFERROR(SUMIFS(FifthYearP,Participants2,A78,InsitutionP,A71),"")</f>
        <v>0</v>
      </c>
      <c r="H78" s="219">
        <f>IFERROR(SUMIFS(SixthYearP,Participants2,A78,InsitutionP,A71),"")</f>
        <v>0</v>
      </c>
      <c r="I78" s="220">
        <f>IFERROR(SUMIFS(SeventhYearP,Participants2,A78,InsitutionP,A71),"")</f>
        <v>0</v>
      </c>
      <c r="J78" s="219">
        <f>IFERROR(SUMIFS(EighthYearP,Participants2,A78,InsitutionP,A71),"")</f>
        <v>0</v>
      </c>
      <c r="K78" s="219">
        <f>IFERROR(SUMIFS(NinthYearP,Participants2,A78,InsitutionP,A71),"")</f>
        <v>0</v>
      </c>
      <c r="L78" s="221">
        <f>IFERROR(SUMIFS(CoFinancingP,Participants2,A78,InsitutionP,A71),"")</f>
        <v>0</v>
      </c>
      <c r="M78" s="222">
        <f>IFERROR(SUMIFS(OtherP,Participants2,A78,InsitutionP,A71),"")</f>
        <v>0</v>
      </c>
    </row>
    <row r="79" spans="1:27" x14ac:dyDescent="0.25">
      <c r="A79" s="178" t="s">
        <v>29</v>
      </c>
      <c r="B79" s="217" t="str">
        <f t="shared" si="142"/>
        <v/>
      </c>
      <c r="C79" s="218">
        <f>IFERROR(SUMIFS(FirstYearE,Expenses,A79,InsitutionE,A71),"")</f>
        <v>0</v>
      </c>
      <c r="D79" s="218">
        <f>IFERROR(SUMIFS(SecondYearE,Expenses,A79,InsitutionE,A71),"")</f>
        <v>0</v>
      </c>
      <c r="E79" s="218">
        <f>IFERROR(SUMIFS(ThirdYearE,Expenses,A79,InsitutionE,A71),"")</f>
        <v>0</v>
      </c>
      <c r="F79" s="218">
        <f>IFERROR(SUMIFS(FourthYearE,Expenses,A79,InsitutionE,A71),"")</f>
        <v>0</v>
      </c>
      <c r="G79" s="219">
        <f>IFERROR(SUMIFS(FifthYearE,Expenses,A79,InsitutionE,A71),"")</f>
        <v>0</v>
      </c>
      <c r="H79" s="219">
        <f>IFERROR(SUMIFS(SixthYearE,Expenses,A79,InsitutionE,A71),"")</f>
        <v>0</v>
      </c>
      <c r="I79" s="220">
        <f>IFERROR(SUMIFS(SeventhYearE,Expenses,A79,InsitutionE,A71),"")</f>
        <v>0</v>
      </c>
      <c r="J79" s="219">
        <f>IFERROR(SUMIFS(EightYearE,Expenses,A79,InsitutionE,A71),"")</f>
        <v>0</v>
      </c>
      <c r="K79" s="219">
        <f>IFERROR(SUMIFS(NinthYearE,Expenses,A79,InsitutionE,A71),"")</f>
        <v>0</v>
      </c>
      <c r="L79" s="221">
        <f>IFERROR(SUMIFS(CoFinancingE,Expenses,A79,InsitutionE,A71),"")</f>
        <v>0</v>
      </c>
      <c r="M79" s="222">
        <f>IFERROR(SUMIFS(OtherE,Expenses,A79,InsitutionE,A71),"")</f>
        <v>0</v>
      </c>
    </row>
    <row r="80" spans="1:27" ht="15.75" thickBot="1" x14ac:dyDescent="0.3">
      <c r="A80" s="178" t="s">
        <v>39</v>
      </c>
      <c r="B80" s="217" t="str">
        <f t="shared" si="142"/>
        <v/>
      </c>
      <c r="C80" s="218">
        <f>IFERROR(SUMIFS(FirstYearE,Expenses,A80,InsitutionE,A71),"")</f>
        <v>0</v>
      </c>
      <c r="D80" s="218">
        <f>IFERROR(SUMIFS(SecondYearE,Expenses,A80,InsitutionE,A71),"")</f>
        <v>0</v>
      </c>
      <c r="E80" s="218">
        <f>IFERROR(SUMIFS(ThirdYearE,Expenses,A80,InsitutionE,A71),"")</f>
        <v>0</v>
      </c>
      <c r="F80" s="218">
        <f>IFERROR(SUMIFS(FourthYearE,Expenses,A80,InsitutionE,A71),"")</f>
        <v>0</v>
      </c>
      <c r="G80" s="219">
        <f>IFERROR(SUMIFS(FifthYearE,Expenses,A80,InsitutionE,A71),"")</f>
        <v>0</v>
      </c>
      <c r="H80" s="219">
        <f>IFERROR(SUMIFS(SixthYearE,Expenses,A80,InsitutionE,A71),"")</f>
        <v>0</v>
      </c>
      <c r="I80" s="220">
        <f>IFERROR(SUMIFS(SeventhYearE,Expenses,A80,InsitutionE,A71),"")</f>
        <v>0</v>
      </c>
      <c r="J80" s="219">
        <f>IFERROR(SUMIFS(EightYearE,Expenses,A80,InsitutionE,A71),"")</f>
        <v>0</v>
      </c>
      <c r="K80" s="219">
        <f>IFERROR(SUMIFS(NinthYearE,Expenses,A80,InsitutionE,A71),"")</f>
        <v>0</v>
      </c>
      <c r="L80" s="221">
        <f>IFERROR(SUMIFS(CoFinancingE,Expenses,A80,InsitutionE,A71),"")</f>
        <v>0</v>
      </c>
      <c r="M80" s="222">
        <f>IFERROR(SUMIFS(OtherE,Expenses,A80,InsitutionE,A71),"")</f>
        <v>0</v>
      </c>
    </row>
    <row r="81" spans="1:13" ht="15.75" thickBot="1" x14ac:dyDescent="0.3">
      <c r="A81" s="177" t="s">
        <v>817</v>
      </c>
      <c r="B81" s="338" t="str">
        <f t="shared" si="142"/>
        <v/>
      </c>
      <c r="C81" s="212" t="str">
        <f>IFERROR(IF(SUM(C77:C80)=0, "", ROUND(SUM(C77:C80),0)),"")</f>
        <v/>
      </c>
      <c r="D81" s="365" t="str">
        <f t="shared" ref="D81:H81" si="149">IFERROR(IF(SUM(D77:D80)=0, "", ROUND(SUM(D77:D80),0)),"")</f>
        <v/>
      </c>
      <c r="E81" s="365" t="str">
        <f t="shared" si="149"/>
        <v/>
      </c>
      <c r="F81" s="365" t="str">
        <f t="shared" si="149"/>
        <v/>
      </c>
      <c r="G81" s="365" t="str">
        <f t="shared" si="149"/>
        <v/>
      </c>
      <c r="H81" s="365" t="str">
        <f t="shared" si="149"/>
        <v/>
      </c>
      <c r="I81" s="365" t="str">
        <f>IFERROR(IF(SUM(I77:I80)=0, "", ROUND(SUM(I77:I80),0)),"")</f>
        <v/>
      </c>
      <c r="J81" s="365" t="str">
        <f t="shared" ref="J81:K81" si="150">IFERROR(IF(SUM(J77:J80)=0, "", ROUND(SUM(J77:J80),0)),"")</f>
        <v/>
      </c>
      <c r="K81" s="365" t="str">
        <f t="shared" si="150"/>
        <v/>
      </c>
      <c r="L81" s="225" t="str">
        <f>IFERROR(IF(SUM(L77:L80)=0, "", ROUND(SUM(L77:L80),0)),"")</f>
        <v/>
      </c>
      <c r="M81" s="226" t="str">
        <f>IFERROR(IF(SUM(M77:M80)=0, "", ROUND(SUM(M77:M80),0)),"")</f>
        <v/>
      </c>
    </row>
    <row r="82" spans="1:13" ht="15.75" thickBot="1" x14ac:dyDescent="0.3">
      <c r="A82" s="178" t="s">
        <v>13</v>
      </c>
      <c r="B82" s="339" t="str">
        <f t="shared" si="142"/>
        <v/>
      </c>
      <c r="C82" s="341" t="str">
        <f>IFERROR(IF(Budget!$W$14="", "",ROUND(Budget!$W$14*C81,0)),"")</f>
        <v/>
      </c>
      <c r="D82" s="341" t="str">
        <f>IFERROR(IF(Budget!$W$14="", "",ROUND(Budget!$W$14*D81,0)),"")</f>
        <v/>
      </c>
      <c r="E82" s="341" t="str">
        <f>IFERROR(IF(Budget!$W$14="", "",ROUND(Budget!$W$14*E81,0)),"")</f>
        <v/>
      </c>
      <c r="F82" s="341" t="str">
        <f>IFERROR(IF(Budget!$W$14="", "",ROUND(Budget!$W$14*F81,0)),"")</f>
        <v/>
      </c>
      <c r="G82" s="341" t="str">
        <f>IFERROR(IF(Budget!$W$14="", "",ROUND(Budget!$W$14*G81,0)),"")</f>
        <v/>
      </c>
      <c r="H82" s="341" t="str">
        <f>IFERROR(IF(Budget!$W$14="", "",ROUND(Budget!$W$14*H81,0)),"")</f>
        <v/>
      </c>
      <c r="I82" s="416" t="str">
        <f>IFERROR(IF(Budget!$W$14="", "",ROUND(Budget!$W$14*I81,0)),"")</f>
        <v/>
      </c>
      <c r="J82" s="422" t="str">
        <f>IFERROR(IF(Budget!$W$14="", "",ROUND(Budget!$W$14*J81,0)),"")</f>
        <v/>
      </c>
      <c r="K82" s="423" t="str">
        <f>IFERROR(IF(Budget!$W$14="", "",ROUND(Budget!$W$14*K81,0)),"")</f>
        <v/>
      </c>
      <c r="L82" s="227"/>
      <c r="M82" s="227"/>
    </row>
    <row r="83" spans="1:13" ht="15.75" thickBot="1" x14ac:dyDescent="0.3">
      <c r="A83" s="179" t="s">
        <v>809</v>
      </c>
      <c r="B83" s="340" t="str">
        <f t="shared" si="142"/>
        <v/>
      </c>
      <c r="C83" s="228" t="str">
        <f>IFERROR(IF(SUM(C81:C82)=0, "", SUM(C81:C82)),"")</f>
        <v/>
      </c>
      <c r="D83" s="228" t="str">
        <f t="shared" ref="D83" si="151">IFERROR(IF(SUM(D81:D82)=0, "", SUM(D81:D82)),"")</f>
        <v/>
      </c>
      <c r="E83" s="228" t="str">
        <f t="shared" ref="E83" si="152">IFERROR(IF(SUM(E81:E82)=0, "", SUM(E81:E82)),"")</f>
        <v/>
      </c>
      <c r="F83" s="228" t="str">
        <f t="shared" ref="F83" si="153">IFERROR(IF(SUM(F81:F82)=0, "", SUM(F81:F82)),"")</f>
        <v/>
      </c>
      <c r="G83" s="228" t="str">
        <f t="shared" ref="G83" si="154">IFERROR(IF(SUM(G81:G82)=0, "", SUM(G81:G82)),"")</f>
        <v/>
      </c>
      <c r="H83" s="228" t="str">
        <f t="shared" ref="H83" si="155">IFERROR(IF(SUM(H81:H82)=0, "", SUM(H81:H82)),"")</f>
        <v/>
      </c>
      <c r="I83" s="229" t="str">
        <f t="shared" ref="I83:K83" si="156">IFERROR(IF(SUM(I81:I82)=0, "", SUM(I81:I82)),"")</f>
        <v/>
      </c>
      <c r="J83" s="379" t="str">
        <f t="shared" si="156"/>
        <v/>
      </c>
      <c r="K83" s="418" t="str">
        <f t="shared" si="156"/>
        <v/>
      </c>
      <c r="L83" s="227"/>
      <c r="M83" s="227"/>
    </row>
  </sheetData>
  <sheetProtection algorithmName="SHA-512" hashValue="andpJX+8zMpNZrqPeiaG/aM7xoUyha6u6VA2Xbgvq4KRSwVM7DDm6SW7FGSxdrScBgk21PCpKeXDxQwstfYmeA==" saltValue="FJAIGTTeZNg93O9+lEu2ZA==" spinCount="100000" sheet="1" objects="1" scenarios="1"/>
  <mergeCells count="11">
    <mergeCell ref="A1:M1"/>
    <mergeCell ref="O1:AA1"/>
    <mergeCell ref="A15:M15"/>
    <mergeCell ref="O15:AA15"/>
    <mergeCell ref="A29:M29"/>
    <mergeCell ref="O29:AA29"/>
    <mergeCell ref="A43:M43"/>
    <mergeCell ref="O43:AA43"/>
    <mergeCell ref="A57:M57"/>
    <mergeCell ref="O57:AA57"/>
    <mergeCell ref="A71:M71"/>
  </mergeCells>
  <conditionalFormatting sqref="L3:M11 B3:K13">
    <cfRule type="cellIs" dxfId="149" priority="13" operator="equal">
      <formula>0</formula>
    </cfRule>
  </conditionalFormatting>
  <conditionalFormatting sqref="Z3:AA11 P3:Y13">
    <cfRule type="cellIs" dxfId="148" priority="10" operator="equal">
      <formula>0</formula>
    </cfRule>
  </conditionalFormatting>
  <conditionalFormatting sqref="L17:M25 B17:K27">
    <cfRule type="cellIs" dxfId="147" priority="9" operator="equal">
      <formula>0</formula>
    </cfRule>
  </conditionalFormatting>
  <conditionalFormatting sqref="Z17:AA25 P17:Y27">
    <cfRule type="cellIs" dxfId="146" priority="8" operator="equal">
      <formula>0</formula>
    </cfRule>
  </conditionalFormatting>
  <conditionalFormatting sqref="L31:M39 B31:K41">
    <cfRule type="cellIs" dxfId="145" priority="7" operator="equal">
      <formula>0</formula>
    </cfRule>
  </conditionalFormatting>
  <conditionalFormatting sqref="Z31:AA39 P31:Y41">
    <cfRule type="cellIs" dxfId="144" priority="6" operator="equal">
      <formula>0</formula>
    </cfRule>
  </conditionalFormatting>
  <conditionalFormatting sqref="L45:M53 B45:K55">
    <cfRule type="cellIs" dxfId="143" priority="5" operator="equal">
      <formula>0</formula>
    </cfRule>
  </conditionalFormatting>
  <conditionalFormatting sqref="Z45:AA53 P45:Y55">
    <cfRule type="cellIs" dxfId="142" priority="4" operator="equal">
      <formula>0</formula>
    </cfRule>
  </conditionalFormatting>
  <conditionalFormatting sqref="L59:M67 B59:K69">
    <cfRule type="cellIs" dxfId="141" priority="3" operator="equal">
      <formula>0</formula>
    </cfRule>
  </conditionalFormatting>
  <conditionalFormatting sqref="Z59:AA67 P59:Y69">
    <cfRule type="cellIs" dxfId="140" priority="2" operator="equal">
      <formula>0</formula>
    </cfRule>
  </conditionalFormatting>
  <conditionalFormatting sqref="L73:M81 B73:K83">
    <cfRule type="cellIs" dxfId="139" priority="1" operator="equal">
      <formula>0</formula>
    </cfRule>
  </conditionalFormatting>
  <dataValidations count="1">
    <dataValidation allowBlank="1" showInputMessage="1" showErrorMessage="1" errorTitle="Negative numbers not allowed" error="You cannot enter negative numbers in this cell." sqref="P45:Y55 B59:K69 B45:K55 B73:K83 B3:K13 P3:Y13 B17:K27 P17:Y27 B31:K41 P31:Y41 P59:Y69"/>
  </dataValidations>
  <pageMargins left="0.7" right="0.7" top="0.75" bottom="0.75" header="0.3" footer="0.3"/>
  <pageSetup paperSize="9" scale="48" fitToHeight="0" orientation="landscape" r:id="rId1"/>
  <rowBreaks count="1" manualBreakCount="1">
    <brk id="42" max="16383" man="1"/>
  </rowBreaks>
  <ignoredErrors>
    <ignoredError sqref="L7:M7 C7:I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39997558519241921"/>
  </sheetPr>
  <dimension ref="A17"/>
  <sheetViews>
    <sheetView showGridLines="0" zoomScale="85" zoomScaleNormal="85" workbookViewId="0"/>
  </sheetViews>
  <sheetFormatPr defaultColWidth="9.140625" defaultRowHeight="12.75" x14ac:dyDescent="0.2"/>
  <cols>
    <col min="1" max="16384" width="9.140625" style="8"/>
  </cols>
  <sheetData>
    <row r="17" spans="1:1" ht="32.25" customHeight="1" x14ac:dyDescent="0.2">
      <c r="A17" s="102"/>
    </row>
  </sheetData>
  <sheetProtection algorithmName="SHA-512" hashValue="P8gudK2w7rb7F23UsZSoRe9gEEenJiC50ir8SLSzO4/j/iVL+EElZ1OHFpzKwOda+nPQVrOjPncD6B7bRUx8bg==" saltValue="o7RIv10T6hleyRlKHnkLcQ=="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AA257"/>
  <sheetViews>
    <sheetView showGridLines="0" zoomScale="85" zoomScaleNormal="85" workbookViewId="0"/>
  </sheetViews>
  <sheetFormatPr defaultColWidth="8.85546875" defaultRowHeight="15" x14ac:dyDescent="0.25"/>
  <cols>
    <col min="1" max="1" width="66.28515625" style="1" bestFit="1" customWidth="1"/>
    <col min="2" max="2" width="28" style="1" customWidth="1"/>
    <col min="3" max="3" width="18.7109375" style="1" customWidth="1"/>
    <col min="4" max="4" width="5.7109375" style="1" customWidth="1"/>
    <col min="5" max="5" width="46.85546875" style="1" customWidth="1"/>
    <col min="6" max="6" width="24.28515625" style="1" bestFit="1" customWidth="1"/>
    <col min="7" max="7" width="24.28515625" style="1" customWidth="1"/>
    <col min="8" max="8" width="6.28515625" style="1" customWidth="1"/>
    <col min="9" max="9" width="66.42578125" style="1" customWidth="1"/>
    <col min="10" max="10" width="14" style="1" customWidth="1"/>
    <col min="11" max="11" width="13.42578125" style="1" customWidth="1"/>
    <col min="12" max="12" width="23.7109375" style="1" customWidth="1"/>
    <col min="13" max="13" width="17.28515625" style="1" customWidth="1"/>
    <col min="14" max="14" width="20.42578125" style="1" customWidth="1"/>
    <col min="15" max="15" width="23.28515625" style="1" customWidth="1"/>
    <col min="16" max="16" width="38.42578125" style="1" customWidth="1"/>
    <col min="17" max="17" width="12.85546875" style="1" customWidth="1"/>
    <col min="18" max="18" width="90.140625" style="1" bestFit="1" customWidth="1"/>
    <col min="19" max="19" width="3.7109375" style="1" customWidth="1"/>
    <col min="20" max="20" width="37.7109375" style="1" bestFit="1" customWidth="1"/>
    <col min="21" max="21" width="9.140625" style="1" bestFit="1" customWidth="1"/>
    <col min="22" max="22" width="52" style="1" bestFit="1" customWidth="1"/>
    <col min="23" max="23" width="47.7109375" style="1" bestFit="1" customWidth="1"/>
    <col min="24" max="25" width="19.85546875" style="1" bestFit="1" customWidth="1"/>
    <col min="26" max="26" width="19.42578125" style="1" bestFit="1" customWidth="1"/>
    <col min="27" max="27" width="18.85546875" style="1" customWidth="1"/>
    <col min="28" max="28" width="9" style="1" customWidth="1"/>
    <col min="29" max="16384" width="8.85546875" style="1"/>
  </cols>
  <sheetData>
    <row r="1" spans="1:27" x14ac:dyDescent="0.25">
      <c r="A1" s="2" t="s">
        <v>684</v>
      </c>
      <c r="B1" s="2" t="s">
        <v>18</v>
      </c>
      <c r="E1" s="2" t="s">
        <v>733</v>
      </c>
      <c r="F1" s="2" t="s">
        <v>734</v>
      </c>
      <c r="G1" s="2"/>
      <c r="I1" s="1" t="s">
        <v>7</v>
      </c>
      <c r="J1" s="1" t="s">
        <v>20</v>
      </c>
      <c r="K1" s="1" t="s">
        <v>21</v>
      </c>
      <c r="L1" s="1" t="s">
        <v>22</v>
      </c>
      <c r="M1" s="1" t="s">
        <v>23</v>
      </c>
      <c r="N1" s="1" t="s">
        <v>24</v>
      </c>
      <c r="O1" s="1" t="s">
        <v>17</v>
      </c>
      <c r="P1" s="1" t="s">
        <v>25</v>
      </c>
      <c r="Q1" s="1" t="s">
        <v>13</v>
      </c>
      <c r="R1" s="1" t="s">
        <v>26</v>
      </c>
      <c r="T1" s="231" t="s">
        <v>766</v>
      </c>
      <c r="U1" s="231" t="s">
        <v>18</v>
      </c>
      <c r="Z1" s="2"/>
      <c r="AA1" s="2"/>
    </row>
    <row r="2" spans="1:27" ht="15" customHeight="1" x14ac:dyDescent="0.25">
      <c r="A2" s="119" t="s">
        <v>798</v>
      </c>
      <c r="B2" s="118" t="s">
        <v>58</v>
      </c>
      <c r="E2" s="119" t="s">
        <v>844</v>
      </c>
      <c r="F2" s="120"/>
      <c r="G2" s="120"/>
      <c r="I2" s="4" t="s">
        <v>52</v>
      </c>
      <c r="J2" s="4">
        <v>19596915</v>
      </c>
      <c r="K2" s="4"/>
      <c r="L2" s="4" t="s">
        <v>53</v>
      </c>
      <c r="M2" s="4">
        <v>2000</v>
      </c>
      <c r="N2" s="4" t="s">
        <v>54</v>
      </c>
      <c r="O2" s="4" t="s">
        <v>34</v>
      </c>
      <c r="P2" s="4" t="s">
        <v>55</v>
      </c>
      <c r="Q2" s="5">
        <v>0.44</v>
      </c>
      <c r="R2" s="6" t="s">
        <v>36</v>
      </c>
      <c r="T2" s="232" t="s">
        <v>34</v>
      </c>
      <c r="U2" s="232" t="s">
        <v>258</v>
      </c>
      <c r="X2" s="80"/>
      <c r="Y2" s="80"/>
      <c r="Z2" s="126"/>
      <c r="AA2" s="80"/>
    </row>
    <row r="3" spans="1:27" ht="15" customHeight="1" x14ac:dyDescent="0.25">
      <c r="A3" s="117" t="s">
        <v>784</v>
      </c>
      <c r="B3" s="118" t="s">
        <v>686</v>
      </c>
      <c r="E3" s="119" t="s">
        <v>845</v>
      </c>
      <c r="F3" s="121"/>
      <c r="G3" s="121"/>
      <c r="I3" s="4" t="s">
        <v>61</v>
      </c>
      <c r="J3" s="4">
        <v>29057753</v>
      </c>
      <c r="K3" s="4"/>
      <c r="L3" s="4" t="s">
        <v>62</v>
      </c>
      <c r="M3" s="4">
        <v>2300</v>
      </c>
      <c r="N3" s="4" t="s">
        <v>63</v>
      </c>
      <c r="O3" s="4" t="s">
        <v>34</v>
      </c>
      <c r="P3" s="4" t="s">
        <v>64</v>
      </c>
      <c r="Q3" s="5">
        <v>0.44</v>
      </c>
      <c r="R3" s="6" t="s">
        <v>36</v>
      </c>
      <c r="T3" s="233" t="s">
        <v>27</v>
      </c>
      <c r="U3" s="233" t="s">
        <v>28</v>
      </c>
      <c r="X3" s="80"/>
      <c r="Y3" s="80"/>
      <c r="Z3" s="126"/>
      <c r="AA3" s="80"/>
    </row>
    <row r="4" spans="1:27" ht="15" customHeight="1" x14ac:dyDescent="0.25">
      <c r="A4" s="117" t="s">
        <v>799</v>
      </c>
      <c r="B4" s="118" t="s">
        <v>685</v>
      </c>
      <c r="E4" s="119" t="s">
        <v>846</v>
      </c>
      <c r="F4" s="121"/>
      <c r="G4" s="121"/>
      <c r="I4" s="4" t="s">
        <v>9</v>
      </c>
      <c r="J4" s="4">
        <v>29057559</v>
      </c>
      <c r="K4" s="4"/>
      <c r="L4" s="4" t="s">
        <v>69</v>
      </c>
      <c r="M4" s="4">
        <v>4000</v>
      </c>
      <c r="N4" s="4" t="s">
        <v>70</v>
      </c>
      <c r="O4" s="4" t="s">
        <v>34</v>
      </c>
      <c r="P4" s="4" t="s">
        <v>71</v>
      </c>
      <c r="Q4" s="5">
        <v>0.44</v>
      </c>
      <c r="R4" s="6" t="s">
        <v>36</v>
      </c>
      <c r="T4" s="233" t="s">
        <v>37</v>
      </c>
      <c r="U4" s="233" t="s">
        <v>38</v>
      </c>
      <c r="X4" s="80"/>
      <c r="Y4" s="80"/>
      <c r="Z4" s="80"/>
      <c r="AA4" s="80"/>
    </row>
    <row r="5" spans="1:27" ht="15" customHeight="1" x14ac:dyDescent="0.25">
      <c r="A5" s="117" t="s">
        <v>850</v>
      </c>
      <c r="B5" s="118" t="s">
        <v>49</v>
      </c>
      <c r="E5" s="119" t="s">
        <v>847</v>
      </c>
      <c r="F5" s="120"/>
      <c r="G5" s="120"/>
      <c r="I5" s="4" t="s">
        <v>76</v>
      </c>
      <c r="J5" s="4">
        <v>30060946</v>
      </c>
      <c r="K5" s="4"/>
      <c r="L5" s="4" t="s">
        <v>77</v>
      </c>
      <c r="M5" s="4">
        <v>2800</v>
      </c>
      <c r="N5" s="4" t="s">
        <v>78</v>
      </c>
      <c r="O5" s="4" t="s">
        <v>34</v>
      </c>
      <c r="P5" s="4" t="s">
        <v>79</v>
      </c>
      <c r="Q5" s="5">
        <v>0.44</v>
      </c>
      <c r="R5" s="6" t="s">
        <v>36</v>
      </c>
      <c r="T5" s="233" t="s">
        <v>47</v>
      </c>
      <c r="U5" s="233" t="s">
        <v>48</v>
      </c>
      <c r="X5" s="80"/>
      <c r="Y5" s="80"/>
      <c r="Z5" s="80"/>
      <c r="AA5" s="80"/>
    </row>
    <row r="6" spans="1:27" ht="15" customHeight="1" x14ac:dyDescent="0.25">
      <c r="C6" s="7"/>
      <c r="E6" s="119" t="s">
        <v>848</v>
      </c>
      <c r="F6" s="120"/>
      <c r="G6" s="120"/>
      <c r="I6" s="8" t="s">
        <v>84</v>
      </c>
      <c r="J6" s="8">
        <v>29979812</v>
      </c>
      <c r="K6" s="8"/>
      <c r="L6" s="8" t="s">
        <v>85</v>
      </c>
      <c r="M6" s="8">
        <v>1165</v>
      </c>
      <c r="N6" s="8" t="s">
        <v>86</v>
      </c>
      <c r="O6" s="8" t="s">
        <v>34</v>
      </c>
      <c r="P6" s="8" t="s">
        <v>87</v>
      </c>
      <c r="Q6" s="5">
        <v>0.44</v>
      </c>
      <c r="R6" s="6" t="s">
        <v>36</v>
      </c>
      <c r="T6" s="233" t="s">
        <v>56</v>
      </c>
      <c r="U6" s="233" t="s">
        <v>57</v>
      </c>
      <c r="X6" s="80"/>
      <c r="Y6" s="80"/>
      <c r="Z6" s="80"/>
      <c r="AA6" s="80"/>
    </row>
    <row r="7" spans="1:27" ht="15" customHeight="1" x14ac:dyDescent="0.25">
      <c r="A7" s="2" t="s">
        <v>683</v>
      </c>
      <c r="B7" s="1" t="s">
        <v>18</v>
      </c>
      <c r="I7" s="8" t="s">
        <v>92</v>
      </c>
      <c r="J7" s="8">
        <v>29283958</v>
      </c>
      <c r="K7" s="8"/>
      <c r="L7" s="8" t="s">
        <v>93</v>
      </c>
      <c r="M7" s="8">
        <v>5230</v>
      </c>
      <c r="N7" s="8" t="s">
        <v>94</v>
      </c>
      <c r="O7" s="8" t="s">
        <v>34</v>
      </c>
      <c r="P7" s="8" t="s">
        <v>95</v>
      </c>
      <c r="Q7" s="5">
        <v>0.44</v>
      </c>
      <c r="R7" s="6" t="s">
        <v>36</v>
      </c>
      <c r="T7" s="233" t="s">
        <v>65</v>
      </c>
      <c r="U7" s="233" t="s">
        <v>66</v>
      </c>
      <c r="V7" s="4"/>
      <c r="W7" s="4"/>
      <c r="X7" s="4"/>
      <c r="Y7" s="4"/>
      <c r="Z7" s="5"/>
      <c r="AA7" s="6"/>
    </row>
    <row r="8" spans="1:27" ht="15" customHeight="1" x14ac:dyDescent="0.25">
      <c r="A8" s="119" t="s">
        <v>29</v>
      </c>
      <c r="B8" s="118" t="s">
        <v>723</v>
      </c>
      <c r="E8" s="13" t="s">
        <v>214</v>
      </c>
      <c r="I8" s="4" t="s">
        <v>8</v>
      </c>
      <c r="J8" s="4">
        <v>29102384</v>
      </c>
      <c r="K8" s="4"/>
      <c r="L8" s="4" t="s">
        <v>32</v>
      </c>
      <c r="M8" s="4">
        <v>9220</v>
      </c>
      <c r="N8" s="4" t="s">
        <v>33</v>
      </c>
      <c r="O8" s="4" t="s">
        <v>34</v>
      </c>
      <c r="P8" s="4" t="s">
        <v>35</v>
      </c>
      <c r="Q8" s="5">
        <v>0.44</v>
      </c>
      <c r="R8" s="6" t="s">
        <v>36</v>
      </c>
      <c r="T8" s="233" t="s">
        <v>72</v>
      </c>
      <c r="U8" s="233" t="s">
        <v>73</v>
      </c>
      <c r="Z8" s="2"/>
      <c r="AA8" s="2"/>
    </row>
    <row r="9" spans="1:27" ht="15" customHeight="1" x14ac:dyDescent="0.3">
      <c r="A9" s="119" t="s">
        <v>39</v>
      </c>
      <c r="B9" s="118" t="s">
        <v>40</v>
      </c>
      <c r="E9" s="425" t="s">
        <v>860</v>
      </c>
      <c r="I9" s="4" t="s">
        <v>43</v>
      </c>
      <c r="J9" s="4">
        <v>31119103</v>
      </c>
      <c r="K9" s="4"/>
      <c r="L9" s="4" t="s">
        <v>44</v>
      </c>
      <c r="M9" s="4">
        <v>8000</v>
      </c>
      <c r="N9" s="4" t="s">
        <v>45</v>
      </c>
      <c r="O9" s="4" t="s">
        <v>34</v>
      </c>
      <c r="P9" s="4" t="s">
        <v>46</v>
      </c>
      <c r="Q9" s="5">
        <v>0.44</v>
      </c>
      <c r="R9" s="6" t="s">
        <v>36</v>
      </c>
      <c r="T9" s="233" t="s">
        <v>80</v>
      </c>
      <c r="U9" s="233" t="s">
        <v>81</v>
      </c>
      <c r="X9" s="80"/>
      <c r="Y9" s="80"/>
      <c r="Z9" s="126"/>
      <c r="AA9" s="126"/>
    </row>
    <row r="10" spans="1:27" ht="15" customHeight="1" x14ac:dyDescent="0.3">
      <c r="E10" s="425" t="s">
        <v>861</v>
      </c>
      <c r="I10" s="8" t="s">
        <v>114</v>
      </c>
      <c r="J10" s="8">
        <v>29190623</v>
      </c>
      <c r="K10" s="8">
        <v>1003251685</v>
      </c>
      <c r="L10" s="8" t="s">
        <v>115</v>
      </c>
      <c r="M10" s="8">
        <v>2400</v>
      </c>
      <c r="N10" s="8" t="s">
        <v>116</v>
      </c>
      <c r="O10" s="8" t="s">
        <v>34</v>
      </c>
      <c r="P10" s="8" t="s">
        <v>117</v>
      </c>
      <c r="Q10" s="9">
        <v>3.1E-2</v>
      </c>
      <c r="R10" s="6" t="s">
        <v>67</v>
      </c>
      <c r="T10" s="233" t="s">
        <v>88</v>
      </c>
      <c r="U10" s="233" t="s">
        <v>89</v>
      </c>
      <c r="X10" s="80"/>
      <c r="Y10" s="80"/>
      <c r="Z10" s="126"/>
      <c r="AA10" s="126"/>
    </row>
    <row r="11" spans="1:27" ht="15" customHeight="1" x14ac:dyDescent="0.3">
      <c r="A11" s="1" t="s">
        <v>737</v>
      </c>
      <c r="B11" s="1" t="s">
        <v>18</v>
      </c>
      <c r="E11" s="425"/>
      <c r="I11" s="8" t="s">
        <v>157</v>
      </c>
      <c r="J11" s="8">
        <v>29190623</v>
      </c>
      <c r="K11" s="8">
        <v>1003398648</v>
      </c>
      <c r="L11" s="8" t="s">
        <v>158</v>
      </c>
      <c r="M11" s="8">
        <v>2100</v>
      </c>
      <c r="N11" s="8" t="s">
        <v>159</v>
      </c>
      <c r="O11" s="8" t="s">
        <v>34</v>
      </c>
      <c r="P11" s="8" t="s">
        <v>160</v>
      </c>
      <c r="Q11" s="9">
        <v>3.1E-2</v>
      </c>
      <c r="R11" s="6" t="s">
        <v>67</v>
      </c>
      <c r="T11" s="233" t="s">
        <v>96</v>
      </c>
      <c r="U11" s="233" t="s">
        <v>97</v>
      </c>
      <c r="X11" s="80"/>
      <c r="Y11" s="80"/>
      <c r="Z11" s="126"/>
      <c r="AA11" s="80"/>
    </row>
    <row r="12" spans="1:27" x14ac:dyDescent="0.25">
      <c r="A12" s="117" t="s">
        <v>29</v>
      </c>
      <c r="B12" s="103" t="s">
        <v>723</v>
      </c>
      <c r="I12" s="8" t="s">
        <v>122</v>
      </c>
      <c r="J12" s="8">
        <v>29190623</v>
      </c>
      <c r="K12" s="8">
        <v>1003258812</v>
      </c>
      <c r="L12" s="8" t="s">
        <v>123</v>
      </c>
      <c r="M12" s="8">
        <v>2900</v>
      </c>
      <c r="N12" s="8" t="s">
        <v>124</v>
      </c>
      <c r="O12" s="8" t="s">
        <v>34</v>
      </c>
      <c r="P12" s="8" t="s">
        <v>125</v>
      </c>
      <c r="Q12" s="9">
        <v>3.1E-2</v>
      </c>
      <c r="R12" s="6" t="s">
        <v>67</v>
      </c>
      <c r="T12" s="233" t="s">
        <v>103</v>
      </c>
      <c r="U12" s="233" t="s">
        <v>104</v>
      </c>
      <c r="X12" s="80"/>
      <c r="Y12" s="80"/>
      <c r="Z12" s="126"/>
      <c r="AA12" s="80"/>
    </row>
    <row r="13" spans="1:27" x14ac:dyDescent="0.25">
      <c r="A13" s="117" t="s">
        <v>39</v>
      </c>
      <c r="B13" s="103" t="s">
        <v>40</v>
      </c>
      <c r="E13" s="1" t="s">
        <v>19</v>
      </c>
      <c r="F13" s="1" t="s">
        <v>18</v>
      </c>
      <c r="G13" s="1" t="s">
        <v>854</v>
      </c>
      <c r="I13" s="8" t="s">
        <v>130</v>
      </c>
      <c r="J13" s="8">
        <v>29190623</v>
      </c>
      <c r="K13" s="8">
        <v>1003259066</v>
      </c>
      <c r="L13" s="8" t="s">
        <v>131</v>
      </c>
      <c r="M13" s="8">
        <v>2600</v>
      </c>
      <c r="N13" s="8" t="s">
        <v>132</v>
      </c>
      <c r="O13" s="8" t="s">
        <v>34</v>
      </c>
      <c r="P13" s="8" t="s">
        <v>133</v>
      </c>
      <c r="Q13" s="9">
        <v>3.1E-2</v>
      </c>
      <c r="R13" s="6" t="s">
        <v>67</v>
      </c>
      <c r="T13" s="233" t="s">
        <v>110</v>
      </c>
      <c r="U13" s="233" t="s">
        <v>111</v>
      </c>
      <c r="X13" s="80"/>
      <c r="Y13" s="80"/>
      <c r="Z13" s="126"/>
      <c r="AA13" s="80"/>
    </row>
    <row r="14" spans="1:27" x14ac:dyDescent="0.25">
      <c r="A14" s="104" t="s">
        <v>785</v>
      </c>
      <c r="B14" s="103" t="s">
        <v>49</v>
      </c>
      <c r="E14" s="115" t="s">
        <v>30</v>
      </c>
      <c r="F14" s="116" t="s">
        <v>31</v>
      </c>
      <c r="G14" s="116" t="b">
        <v>1</v>
      </c>
      <c r="I14" s="8" t="s">
        <v>138</v>
      </c>
      <c r="J14" s="8">
        <v>29190623</v>
      </c>
      <c r="K14" s="8">
        <v>1003259108</v>
      </c>
      <c r="L14" s="8" t="s">
        <v>139</v>
      </c>
      <c r="M14" s="8">
        <v>2730</v>
      </c>
      <c r="N14" s="8" t="s">
        <v>140</v>
      </c>
      <c r="O14" s="8" t="s">
        <v>34</v>
      </c>
      <c r="P14" s="8" t="s">
        <v>141</v>
      </c>
      <c r="Q14" s="9">
        <v>3.1E-2</v>
      </c>
      <c r="R14" s="6" t="s">
        <v>67</v>
      </c>
      <c r="T14" s="233" t="s">
        <v>118</v>
      </c>
      <c r="U14" s="233" t="s">
        <v>119</v>
      </c>
      <c r="X14" s="80"/>
      <c r="Y14" s="80"/>
      <c r="Z14" s="126"/>
      <c r="AA14" s="80"/>
    </row>
    <row r="15" spans="1:27" x14ac:dyDescent="0.25">
      <c r="A15" s="104" t="s">
        <v>798</v>
      </c>
      <c r="B15" s="104" t="s">
        <v>58</v>
      </c>
      <c r="E15" s="115" t="s">
        <v>41</v>
      </c>
      <c r="F15" s="116" t="s">
        <v>42</v>
      </c>
      <c r="G15" s="116" t="b">
        <v>0</v>
      </c>
      <c r="I15" s="8" t="s">
        <v>12</v>
      </c>
      <c r="J15" s="8">
        <v>29190623</v>
      </c>
      <c r="K15" s="8">
        <v>1003256912</v>
      </c>
      <c r="L15" s="8" t="s">
        <v>146</v>
      </c>
      <c r="M15" s="8">
        <v>2650</v>
      </c>
      <c r="N15" s="8" t="s">
        <v>147</v>
      </c>
      <c r="O15" s="8" t="s">
        <v>34</v>
      </c>
      <c r="P15" s="8" t="s">
        <v>148</v>
      </c>
      <c r="Q15" s="9">
        <v>3.1E-2</v>
      </c>
      <c r="R15" s="6" t="s">
        <v>67</v>
      </c>
      <c r="T15" s="233" t="s">
        <v>126</v>
      </c>
      <c r="U15" s="233" t="s">
        <v>127</v>
      </c>
      <c r="X15" s="80"/>
      <c r="Y15" s="80"/>
      <c r="Z15" s="126"/>
      <c r="AA15" s="80"/>
    </row>
    <row r="16" spans="1:27" x14ac:dyDescent="0.25">
      <c r="E16" s="116" t="s">
        <v>50</v>
      </c>
      <c r="F16" s="116" t="s">
        <v>51</v>
      </c>
      <c r="G16" s="116" t="b">
        <v>0</v>
      </c>
      <c r="I16" s="8" t="s">
        <v>168</v>
      </c>
      <c r="J16" s="8">
        <v>29190623</v>
      </c>
      <c r="K16" s="8">
        <v>1003398260</v>
      </c>
      <c r="L16" s="8" t="s">
        <v>169</v>
      </c>
      <c r="M16" s="8">
        <v>2600</v>
      </c>
      <c r="N16" s="8" t="s">
        <v>132</v>
      </c>
      <c r="O16" s="8" t="s">
        <v>34</v>
      </c>
      <c r="P16" s="8" t="s">
        <v>170</v>
      </c>
      <c r="Q16" s="9">
        <v>3.1E-2</v>
      </c>
      <c r="R16" s="6" t="s">
        <v>67</v>
      </c>
      <c r="T16" s="233" t="s">
        <v>134</v>
      </c>
      <c r="U16" s="233" t="s">
        <v>135</v>
      </c>
      <c r="X16" s="80"/>
      <c r="Y16" s="80"/>
      <c r="Z16" s="80"/>
      <c r="AA16" s="80"/>
    </row>
    <row r="17" spans="1:27" x14ac:dyDescent="0.25">
      <c r="A17" s="355" t="s">
        <v>738</v>
      </c>
      <c r="B17" s="355" t="s">
        <v>18</v>
      </c>
      <c r="C17" s="355" t="s">
        <v>638</v>
      </c>
      <c r="E17" s="116" t="s">
        <v>59</v>
      </c>
      <c r="F17" s="116" t="s">
        <v>60</v>
      </c>
      <c r="G17" s="116" t="b">
        <v>1</v>
      </c>
      <c r="I17" s="8" t="s">
        <v>151</v>
      </c>
      <c r="J17" s="8">
        <v>29190909</v>
      </c>
      <c r="K17" s="8">
        <v>1003309680</v>
      </c>
      <c r="L17" s="8" t="s">
        <v>152</v>
      </c>
      <c r="M17" s="8">
        <v>5000</v>
      </c>
      <c r="N17" s="8" t="s">
        <v>153</v>
      </c>
      <c r="O17" s="8" t="s">
        <v>34</v>
      </c>
      <c r="P17" s="8" t="s">
        <v>154</v>
      </c>
      <c r="Q17" s="9">
        <v>3.1E-2</v>
      </c>
      <c r="R17" s="6" t="s">
        <v>67</v>
      </c>
      <c r="T17" s="233" t="s">
        <v>142</v>
      </c>
      <c r="U17" s="233" t="s">
        <v>143</v>
      </c>
      <c r="X17" s="80"/>
      <c r="Y17" s="80"/>
      <c r="Z17" s="80"/>
      <c r="AA17" s="80"/>
    </row>
    <row r="18" spans="1:27" x14ac:dyDescent="0.25">
      <c r="A18" s="357" t="s">
        <v>639</v>
      </c>
      <c r="B18" s="357" t="s">
        <v>58</v>
      </c>
      <c r="C18" s="358">
        <v>1</v>
      </c>
      <c r="E18" s="115" t="s">
        <v>67</v>
      </c>
      <c r="F18" s="116" t="s">
        <v>68</v>
      </c>
      <c r="G18" s="116" t="b">
        <v>1</v>
      </c>
      <c r="H18" s="2"/>
      <c r="I18" s="8" t="s">
        <v>99</v>
      </c>
      <c r="J18" s="8">
        <v>29190941</v>
      </c>
      <c r="K18" s="8">
        <v>1003375213</v>
      </c>
      <c r="L18" s="8" t="s">
        <v>100</v>
      </c>
      <c r="M18" s="8">
        <v>9000</v>
      </c>
      <c r="N18" s="8" t="s">
        <v>101</v>
      </c>
      <c r="O18" s="8" t="s">
        <v>34</v>
      </c>
      <c r="P18" s="8" t="s">
        <v>102</v>
      </c>
      <c r="Q18" s="9">
        <v>3.1E-2</v>
      </c>
      <c r="R18" s="6" t="s">
        <v>67</v>
      </c>
      <c r="T18" s="233" t="s">
        <v>149</v>
      </c>
      <c r="U18" s="233" t="s">
        <v>150</v>
      </c>
      <c r="X18" s="80"/>
      <c r="Y18" s="80"/>
      <c r="Z18" s="80"/>
      <c r="AA18" s="80"/>
    </row>
    <row r="19" spans="1:27" x14ac:dyDescent="0.25">
      <c r="A19" s="369" t="s">
        <v>640</v>
      </c>
      <c r="B19" s="357" t="s">
        <v>641</v>
      </c>
      <c r="C19" s="358">
        <v>2</v>
      </c>
      <c r="E19" s="116" t="s">
        <v>74</v>
      </c>
      <c r="F19" s="116" t="s">
        <v>75</v>
      </c>
      <c r="G19" s="116" t="b">
        <v>0</v>
      </c>
      <c r="I19" s="8" t="s">
        <v>107</v>
      </c>
      <c r="J19" s="8">
        <v>29190925</v>
      </c>
      <c r="K19" s="8">
        <v>1015909001</v>
      </c>
      <c r="L19" s="8" t="s">
        <v>108</v>
      </c>
      <c r="M19" s="8">
        <v>8000</v>
      </c>
      <c r="N19" s="8" t="s">
        <v>45</v>
      </c>
      <c r="O19" s="8" t="s">
        <v>34</v>
      </c>
      <c r="P19" s="8" t="s">
        <v>109</v>
      </c>
      <c r="Q19" s="9">
        <v>3.1E-2</v>
      </c>
      <c r="R19" s="6" t="s">
        <v>67</v>
      </c>
      <c r="T19" s="233" t="s">
        <v>155</v>
      </c>
      <c r="U19" s="233" t="s">
        <v>156</v>
      </c>
      <c r="X19" s="80"/>
      <c r="Y19" s="80"/>
      <c r="Z19" s="80"/>
      <c r="AA19" s="80"/>
    </row>
    <row r="20" spans="1:27" x14ac:dyDescent="0.25">
      <c r="A20" s="369" t="s">
        <v>642</v>
      </c>
      <c r="B20" s="357" t="s">
        <v>643</v>
      </c>
      <c r="C20" s="358">
        <v>3</v>
      </c>
      <c r="E20" s="116" t="s">
        <v>82</v>
      </c>
      <c r="F20" s="116" t="s">
        <v>83</v>
      </c>
      <c r="G20" s="116" t="b">
        <v>0</v>
      </c>
      <c r="I20" s="8" t="s">
        <v>163</v>
      </c>
      <c r="J20" s="8">
        <v>55145016</v>
      </c>
      <c r="K20" s="8"/>
      <c r="L20" s="8" t="s">
        <v>164</v>
      </c>
      <c r="M20" s="8">
        <v>1350</v>
      </c>
      <c r="N20" s="8" t="s">
        <v>86</v>
      </c>
      <c r="O20" s="8" t="s">
        <v>34</v>
      </c>
      <c r="P20" s="8" t="s">
        <v>165</v>
      </c>
      <c r="Q20" s="10">
        <v>0.44</v>
      </c>
      <c r="R20" s="3" t="s">
        <v>112</v>
      </c>
      <c r="T20" s="233" t="s">
        <v>161</v>
      </c>
      <c r="U20" s="233" t="s">
        <v>162</v>
      </c>
      <c r="V20" s="8"/>
      <c r="W20" s="8"/>
      <c r="X20" s="8"/>
      <c r="Y20" s="8"/>
      <c r="Z20" s="9"/>
      <c r="AA20" s="6"/>
    </row>
    <row r="21" spans="1:27" x14ac:dyDescent="0.25">
      <c r="A21" s="369" t="s">
        <v>644</v>
      </c>
      <c r="B21" s="357" t="s">
        <v>645</v>
      </c>
      <c r="C21" s="358">
        <v>4</v>
      </c>
      <c r="E21" s="116" t="s">
        <v>90</v>
      </c>
      <c r="F21" s="116" t="s">
        <v>91</v>
      </c>
      <c r="G21" s="116" t="b">
        <v>1</v>
      </c>
      <c r="I21" s="8" t="s">
        <v>176</v>
      </c>
      <c r="J21" s="8">
        <v>15413700</v>
      </c>
      <c r="K21" s="8"/>
      <c r="L21" s="8" t="s">
        <v>177</v>
      </c>
      <c r="M21" s="8">
        <v>2100</v>
      </c>
      <c r="N21" s="8" t="s">
        <v>159</v>
      </c>
      <c r="O21" s="8" t="s">
        <v>34</v>
      </c>
      <c r="P21" s="8" t="s">
        <v>178</v>
      </c>
      <c r="Q21" s="10">
        <v>0.44</v>
      </c>
      <c r="R21" s="3" t="s">
        <v>112</v>
      </c>
      <c r="T21" s="233" t="s">
        <v>166</v>
      </c>
      <c r="U21" s="233" t="s">
        <v>167</v>
      </c>
      <c r="V21" s="8"/>
      <c r="W21" s="8"/>
      <c r="X21" s="8"/>
      <c r="Y21" s="8"/>
      <c r="Z21" s="10"/>
      <c r="AA21" s="3"/>
    </row>
    <row r="22" spans="1:27" x14ac:dyDescent="0.25">
      <c r="A22" s="369" t="s">
        <v>646</v>
      </c>
      <c r="B22" s="357" t="s">
        <v>647</v>
      </c>
      <c r="C22" s="358">
        <v>5</v>
      </c>
      <c r="E22" s="116" t="s">
        <v>36</v>
      </c>
      <c r="F22" s="116" t="s">
        <v>98</v>
      </c>
      <c r="G22" s="116" t="b">
        <v>1</v>
      </c>
      <c r="I22" s="8" t="s">
        <v>181</v>
      </c>
      <c r="J22" s="8">
        <v>46837428</v>
      </c>
      <c r="K22" s="8"/>
      <c r="L22" s="8" t="s">
        <v>182</v>
      </c>
      <c r="M22" s="8">
        <v>2300</v>
      </c>
      <c r="N22" s="8" t="s">
        <v>63</v>
      </c>
      <c r="O22" s="8" t="s">
        <v>34</v>
      </c>
      <c r="P22" s="8" t="s">
        <v>183</v>
      </c>
      <c r="Q22" s="10">
        <v>0.44</v>
      </c>
      <c r="R22" s="3" t="s">
        <v>112</v>
      </c>
      <c r="T22" s="233" t="s">
        <v>171</v>
      </c>
      <c r="U22" s="233" t="s">
        <v>172</v>
      </c>
      <c r="V22" s="8"/>
      <c r="W22" s="8"/>
      <c r="X22" s="8"/>
      <c r="Y22" s="8"/>
      <c r="Z22" s="10"/>
      <c r="AA22" s="3"/>
    </row>
    <row r="23" spans="1:27" x14ac:dyDescent="0.25">
      <c r="A23" s="369" t="s">
        <v>648</v>
      </c>
      <c r="B23" s="357" t="s">
        <v>649</v>
      </c>
      <c r="C23" s="358">
        <v>6</v>
      </c>
      <c r="E23" s="116" t="s">
        <v>105</v>
      </c>
      <c r="F23" s="116" t="s">
        <v>106</v>
      </c>
      <c r="G23" s="116" t="b">
        <v>1</v>
      </c>
      <c r="I23" s="252" t="s">
        <v>803</v>
      </c>
      <c r="J23" s="8">
        <v>23155117</v>
      </c>
      <c r="K23" s="8"/>
      <c r="L23" s="8" t="s">
        <v>173</v>
      </c>
      <c r="M23" s="8">
        <v>1052</v>
      </c>
      <c r="N23" s="8" t="s">
        <v>86</v>
      </c>
      <c r="O23" s="8" t="s">
        <v>34</v>
      </c>
      <c r="P23" s="8" t="s">
        <v>804</v>
      </c>
      <c r="Q23" s="10">
        <v>0.44</v>
      </c>
      <c r="R23" s="3" t="s">
        <v>112</v>
      </c>
      <c r="T23" s="233" t="s">
        <v>747</v>
      </c>
      <c r="U23" s="233" t="s">
        <v>748</v>
      </c>
    </row>
    <row r="24" spans="1:27" x14ac:dyDescent="0.25">
      <c r="A24" s="369" t="s">
        <v>650</v>
      </c>
      <c r="B24" s="357" t="s">
        <v>651</v>
      </c>
      <c r="C24" s="358">
        <v>7</v>
      </c>
      <c r="E24" s="116" t="s">
        <v>112</v>
      </c>
      <c r="F24" s="116" t="s">
        <v>113</v>
      </c>
      <c r="G24" s="116" t="b">
        <v>1</v>
      </c>
      <c r="H24" s="12"/>
      <c r="I24" s="11"/>
      <c r="J24" s="11"/>
      <c r="K24" s="11"/>
      <c r="L24" s="11"/>
      <c r="M24" s="11"/>
      <c r="N24" s="11"/>
      <c r="O24" s="11"/>
      <c r="P24" s="11"/>
      <c r="T24" s="233" t="s">
        <v>174</v>
      </c>
      <c r="U24" s="233" t="s">
        <v>175</v>
      </c>
    </row>
    <row r="25" spans="1:27" ht="27" customHeight="1" x14ac:dyDescent="0.25">
      <c r="A25" s="369" t="s">
        <v>652</v>
      </c>
      <c r="B25" s="357" t="s">
        <v>653</v>
      </c>
      <c r="C25" s="358">
        <v>8</v>
      </c>
      <c r="E25" s="116" t="s">
        <v>120</v>
      </c>
      <c r="F25" s="116" t="s">
        <v>121</v>
      </c>
      <c r="G25" s="116" t="b">
        <v>0</v>
      </c>
      <c r="H25" s="12"/>
      <c r="T25" s="233" t="s">
        <v>179</v>
      </c>
      <c r="U25" s="233" t="s">
        <v>180</v>
      </c>
    </row>
    <row r="26" spans="1:27" x14ac:dyDescent="0.25">
      <c r="A26" s="369" t="s">
        <v>654</v>
      </c>
      <c r="B26" s="357" t="s">
        <v>655</v>
      </c>
      <c r="C26" s="358">
        <v>9</v>
      </c>
      <c r="E26" s="116" t="s">
        <v>128</v>
      </c>
      <c r="F26" s="116" t="s">
        <v>129</v>
      </c>
      <c r="G26" s="116" t="b">
        <v>0</v>
      </c>
      <c r="I26" s="253"/>
      <c r="J26" s="253"/>
      <c r="K26" s="253"/>
      <c r="L26" s="253"/>
      <c r="M26" s="253"/>
      <c r="N26" s="253"/>
      <c r="O26" s="253"/>
      <c r="P26" s="253"/>
      <c r="Q26" s="254"/>
      <c r="R26" s="253"/>
      <c r="T26" s="233" t="s">
        <v>184</v>
      </c>
      <c r="U26" s="233" t="s">
        <v>185</v>
      </c>
    </row>
    <row r="27" spans="1:27" ht="30" customHeight="1" x14ac:dyDescent="0.25">
      <c r="A27" s="369" t="s">
        <v>656</v>
      </c>
      <c r="B27" s="357" t="s">
        <v>657</v>
      </c>
      <c r="C27" s="358">
        <v>10</v>
      </c>
      <c r="E27" s="116" t="s">
        <v>136</v>
      </c>
      <c r="F27" s="116" t="s">
        <v>137</v>
      </c>
      <c r="G27" s="116" t="b">
        <v>0</v>
      </c>
      <c r="I27" s="253"/>
      <c r="J27" s="253"/>
      <c r="K27" s="253"/>
      <c r="L27" s="253"/>
      <c r="M27" s="253"/>
      <c r="P27" s="253"/>
      <c r="Q27" s="254"/>
      <c r="R27" s="253"/>
      <c r="T27" s="233" t="s">
        <v>186</v>
      </c>
      <c r="U27" s="233" t="s">
        <v>187</v>
      </c>
    </row>
    <row r="28" spans="1:27" x14ac:dyDescent="0.25">
      <c r="A28" s="369" t="s">
        <v>658</v>
      </c>
      <c r="B28" s="357" t="s">
        <v>659</v>
      </c>
      <c r="C28" s="358">
        <v>11</v>
      </c>
      <c r="E28" s="116" t="s">
        <v>144</v>
      </c>
      <c r="F28" s="116" t="s">
        <v>145</v>
      </c>
      <c r="G28" s="116" t="b">
        <v>0</v>
      </c>
      <c r="I28" s="253"/>
      <c r="J28" s="253"/>
      <c r="K28" s="253"/>
      <c r="L28" s="253"/>
      <c r="M28" s="253"/>
      <c r="N28" s="253"/>
      <c r="O28" s="253"/>
      <c r="P28" s="253"/>
      <c r="Q28" s="254"/>
      <c r="R28" s="253"/>
      <c r="T28" s="233" t="s">
        <v>188</v>
      </c>
      <c r="U28" s="233" t="s">
        <v>189</v>
      </c>
    </row>
    <row r="29" spans="1:27" ht="29.25" customHeight="1" x14ac:dyDescent="0.25">
      <c r="A29" s="369" t="s">
        <v>660</v>
      </c>
      <c r="B29" s="357" t="s">
        <v>661</v>
      </c>
      <c r="C29" s="358">
        <v>12</v>
      </c>
      <c r="I29" s="253"/>
      <c r="J29" s="253"/>
      <c r="K29" s="253"/>
      <c r="L29" s="253"/>
      <c r="M29" s="253"/>
      <c r="N29" s="253"/>
      <c r="O29" s="253"/>
      <c r="P29" s="253"/>
      <c r="Q29" s="254"/>
      <c r="R29" s="253"/>
      <c r="T29" s="233" t="s">
        <v>761</v>
      </c>
      <c r="U29" s="233" t="s">
        <v>760</v>
      </c>
    </row>
    <row r="30" spans="1:27" ht="27.75" customHeight="1" x14ac:dyDescent="0.25">
      <c r="A30" s="357" t="s">
        <v>662</v>
      </c>
      <c r="B30" s="357" t="s">
        <v>663</v>
      </c>
      <c r="C30" s="358">
        <v>13</v>
      </c>
      <c r="E30" s="118" t="s">
        <v>13</v>
      </c>
      <c r="F30" s="125" t="s">
        <v>666</v>
      </c>
      <c r="G30" s="125"/>
      <c r="I30" s="253"/>
      <c r="J30" s="253"/>
      <c r="K30" s="253"/>
      <c r="L30" s="253"/>
      <c r="M30" s="253"/>
      <c r="N30" s="253"/>
      <c r="O30" s="253"/>
      <c r="P30" s="253"/>
      <c r="Q30" s="254"/>
      <c r="R30" s="253"/>
      <c r="T30" s="233" t="s">
        <v>190</v>
      </c>
      <c r="U30" s="233" t="s">
        <v>191</v>
      </c>
    </row>
    <row r="31" spans="1:27" ht="29.25" customHeight="1" x14ac:dyDescent="0.25">
      <c r="A31" s="357" t="s">
        <v>664</v>
      </c>
      <c r="B31" s="357" t="s">
        <v>665</v>
      </c>
      <c r="C31" s="358">
        <v>14</v>
      </c>
      <c r="E31" s="122">
        <v>0.44</v>
      </c>
      <c r="F31" s="15" t="s">
        <v>1</v>
      </c>
      <c r="G31" s="15"/>
      <c r="I31" s="11"/>
      <c r="J31" s="253"/>
      <c r="K31" s="11"/>
      <c r="L31" s="253"/>
      <c r="M31" s="253"/>
      <c r="N31" s="253"/>
      <c r="O31" s="253"/>
      <c r="P31" s="253"/>
      <c r="Q31" s="254"/>
      <c r="R31" s="253"/>
      <c r="T31" s="233" t="s">
        <v>192</v>
      </c>
      <c r="U31" s="233" t="s">
        <v>193</v>
      </c>
    </row>
    <row r="32" spans="1:27" x14ac:dyDescent="0.25">
      <c r="E32" s="122">
        <v>0.2</v>
      </c>
      <c r="F32" s="2" t="s">
        <v>10</v>
      </c>
      <c r="G32" s="2"/>
      <c r="I32" s="253"/>
      <c r="J32" s="253"/>
      <c r="K32" s="253"/>
      <c r="L32" s="253"/>
      <c r="M32" s="253"/>
      <c r="N32" s="253"/>
      <c r="O32" s="253"/>
      <c r="P32" s="253"/>
      <c r="Q32" s="255"/>
      <c r="R32" s="253"/>
      <c r="T32" s="233" t="s">
        <v>194</v>
      </c>
      <c r="U32" s="233" t="s">
        <v>195</v>
      </c>
    </row>
    <row r="33" spans="4:21" x14ac:dyDescent="0.25">
      <c r="E33" s="123">
        <v>3.1E-2</v>
      </c>
      <c r="F33" s="2" t="s">
        <v>11</v>
      </c>
      <c r="G33" s="2"/>
      <c r="I33" s="253"/>
      <c r="J33" s="253"/>
      <c r="K33" s="253"/>
      <c r="L33" s="253"/>
      <c r="M33" s="253"/>
      <c r="N33" s="253"/>
      <c r="O33" s="253"/>
      <c r="P33" s="253"/>
      <c r="Q33" s="254"/>
      <c r="R33" s="253"/>
      <c r="T33" s="233" t="s">
        <v>197</v>
      </c>
      <c r="U33" s="233" t="s">
        <v>198</v>
      </c>
    </row>
    <row r="34" spans="4:21" x14ac:dyDescent="0.25">
      <c r="E34" s="124">
        <v>0</v>
      </c>
      <c r="F34" s="2" t="s">
        <v>631</v>
      </c>
      <c r="G34" s="2"/>
      <c r="I34" s="253"/>
      <c r="J34" s="253"/>
      <c r="K34" s="253"/>
      <c r="L34" s="253"/>
      <c r="M34" s="253"/>
      <c r="N34" s="253"/>
      <c r="O34" s="253"/>
      <c r="P34" s="253"/>
      <c r="Q34" s="254"/>
      <c r="R34" s="253"/>
      <c r="T34" s="233" t="s">
        <v>199</v>
      </c>
      <c r="U34" s="233" t="s">
        <v>200</v>
      </c>
    </row>
    <row r="35" spans="4:21" x14ac:dyDescent="0.25">
      <c r="F35" s="2" t="s">
        <v>632</v>
      </c>
      <c r="G35" s="2"/>
      <c r="I35" s="11"/>
      <c r="J35" s="11"/>
      <c r="K35" s="11"/>
      <c r="L35" s="253"/>
      <c r="M35" s="253"/>
      <c r="N35" s="253"/>
      <c r="O35" s="253"/>
      <c r="P35" s="253"/>
      <c r="Q35" s="254"/>
      <c r="R35" s="253"/>
      <c r="T35" s="233" t="s">
        <v>201</v>
      </c>
      <c r="U35" s="233" t="s">
        <v>202</v>
      </c>
    </row>
    <row r="36" spans="4:21" x14ac:dyDescent="0.25">
      <c r="F36" s="2" t="s">
        <v>633</v>
      </c>
      <c r="G36" s="2"/>
      <c r="I36" s="253"/>
      <c r="J36" s="253"/>
      <c r="K36" s="253"/>
      <c r="L36" s="253"/>
      <c r="M36" s="253"/>
      <c r="N36" s="253"/>
      <c r="O36" s="253"/>
      <c r="P36" s="253"/>
      <c r="Q36" s="254"/>
      <c r="R36" s="253"/>
      <c r="T36" s="233" t="s">
        <v>203</v>
      </c>
      <c r="U36" s="233" t="s">
        <v>204</v>
      </c>
    </row>
    <row r="37" spans="4:21" x14ac:dyDescent="0.25">
      <c r="F37" s="2" t="s">
        <v>634</v>
      </c>
      <c r="G37" s="2"/>
      <c r="I37" s="253"/>
      <c r="J37" s="253"/>
      <c r="K37" s="253"/>
      <c r="L37" s="253"/>
      <c r="M37" s="253"/>
      <c r="N37" s="253"/>
      <c r="O37" s="253"/>
      <c r="P37" s="253"/>
      <c r="Q37" s="254"/>
      <c r="R37" s="253"/>
      <c r="T37" s="233" t="s">
        <v>205</v>
      </c>
      <c r="U37" s="233" t="s">
        <v>206</v>
      </c>
    </row>
    <row r="38" spans="4:21" x14ac:dyDescent="0.25">
      <c r="F38" s="2" t="s">
        <v>635</v>
      </c>
      <c r="G38" s="2"/>
      <c r="I38" s="253"/>
      <c r="J38" s="253"/>
      <c r="K38" s="253"/>
      <c r="L38" s="253"/>
      <c r="M38" s="253"/>
      <c r="N38" s="253"/>
      <c r="O38" s="253"/>
      <c r="P38" s="253"/>
      <c r="Q38" s="254"/>
      <c r="R38" s="253"/>
      <c r="T38" s="233" t="s">
        <v>208</v>
      </c>
      <c r="U38" s="233" t="s">
        <v>209</v>
      </c>
    </row>
    <row r="39" spans="4:21" x14ac:dyDescent="0.25">
      <c r="D39" s="16"/>
      <c r="F39" s="2" t="s">
        <v>636</v>
      </c>
      <c r="G39" s="2"/>
      <c r="I39" s="253"/>
      <c r="J39" s="253"/>
      <c r="K39" s="253"/>
      <c r="L39" s="253"/>
      <c r="M39" s="253"/>
      <c r="N39" s="253"/>
      <c r="O39" s="253"/>
      <c r="P39" s="253"/>
      <c r="Q39" s="254"/>
      <c r="R39" s="253"/>
      <c r="T39" s="233" t="s">
        <v>210</v>
      </c>
      <c r="U39" s="233" t="s">
        <v>211</v>
      </c>
    </row>
    <row r="40" spans="4:21" x14ac:dyDescent="0.25">
      <c r="F40" s="2" t="s">
        <v>637</v>
      </c>
      <c r="G40" s="2"/>
      <c r="I40" s="253"/>
      <c r="J40" s="253"/>
      <c r="K40" s="253"/>
      <c r="L40" s="253"/>
      <c r="M40" s="253"/>
      <c r="N40" s="253"/>
      <c r="O40" s="253"/>
      <c r="P40" s="253"/>
      <c r="Q40" s="254"/>
      <c r="R40" s="253"/>
      <c r="T40" s="233" t="s">
        <v>212</v>
      </c>
      <c r="U40" s="233" t="s">
        <v>213</v>
      </c>
    </row>
    <row r="41" spans="4:21" x14ac:dyDescent="0.25">
      <c r="F41" s="2" t="s">
        <v>740</v>
      </c>
      <c r="G41" s="2"/>
      <c r="I41" s="253"/>
      <c r="J41" s="253"/>
      <c r="K41" s="253"/>
      <c r="L41" s="253"/>
      <c r="M41" s="253"/>
      <c r="N41" s="253"/>
      <c r="O41" s="253"/>
      <c r="P41" s="253"/>
      <c r="Q41" s="254"/>
      <c r="R41" s="253"/>
      <c r="T41" s="233" t="s">
        <v>215</v>
      </c>
      <c r="U41" s="233" t="s">
        <v>216</v>
      </c>
    </row>
    <row r="42" spans="4:21" x14ac:dyDescent="0.25">
      <c r="I42" s="253"/>
      <c r="J42" s="253"/>
      <c r="K42" s="253"/>
      <c r="L42" s="253"/>
      <c r="M42" s="253"/>
      <c r="N42" s="253"/>
      <c r="O42" s="253"/>
      <c r="P42" s="253"/>
      <c r="Q42" s="254"/>
      <c r="R42" s="253"/>
      <c r="T42" s="233" t="s">
        <v>217</v>
      </c>
      <c r="U42" s="233" t="s">
        <v>218</v>
      </c>
    </row>
    <row r="43" spans="4:21" x14ac:dyDescent="0.25">
      <c r="I43" s="253"/>
      <c r="J43" s="253"/>
      <c r="K43" s="253"/>
      <c r="L43" s="253"/>
      <c r="M43" s="253"/>
      <c r="N43" s="253"/>
      <c r="O43" s="253"/>
      <c r="P43" s="253"/>
      <c r="Q43" s="254"/>
      <c r="R43" s="253"/>
      <c r="T43" s="233" t="s">
        <v>750</v>
      </c>
      <c r="U43" s="233" t="s">
        <v>219</v>
      </c>
    </row>
    <row r="44" spans="4:21" x14ac:dyDescent="0.25">
      <c r="I44" s="253"/>
      <c r="J44" s="253"/>
      <c r="K44" s="253"/>
      <c r="L44" s="253"/>
      <c r="M44" s="253"/>
      <c r="N44" s="253"/>
      <c r="O44" s="253"/>
      <c r="P44" s="253"/>
      <c r="Q44" s="254"/>
      <c r="R44" s="253"/>
      <c r="T44" s="233" t="s">
        <v>220</v>
      </c>
      <c r="U44" s="233" t="s">
        <v>221</v>
      </c>
    </row>
    <row r="45" spans="4:21" x14ac:dyDescent="0.25">
      <c r="I45" s="253"/>
      <c r="J45" s="253"/>
      <c r="K45" s="253"/>
      <c r="L45" s="253"/>
      <c r="M45" s="253"/>
      <c r="N45" s="253"/>
      <c r="O45" s="253"/>
      <c r="P45" s="253"/>
      <c r="Q45" s="254"/>
      <c r="R45" s="253"/>
      <c r="T45" s="233" t="s">
        <v>222</v>
      </c>
      <c r="U45" s="233" t="s">
        <v>223</v>
      </c>
    </row>
    <row r="46" spans="4:21" x14ac:dyDescent="0.25">
      <c r="I46" s="253"/>
      <c r="J46" s="253"/>
      <c r="K46" s="253"/>
      <c r="L46" s="253"/>
      <c r="M46" s="253"/>
      <c r="N46" s="253"/>
      <c r="O46" s="253"/>
      <c r="P46" s="253"/>
      <c r="Q46" s="254"/>
      <c r="R46" s="253"/>
      <c r="T46" s="233" t="s">
        <v>224</v>
      </c>
      <c r="U46" s="233" t="s">
        <v>225</v>
      </c>
    </row>
    <row r="47" spans="4:21" x14ac:dyDescent="0.25">
      <c r="I47" s="253"/>
      <c r="J47" s="253"/>
      <c r="K47" s="253"/>
      <c r="L47" s="253"/>
      <c r="M47" s="253"/>
      <c r="N47" s="253"/>
      <c r="O47" s="253"/>
      <c r="P47" s="253"/>
      <c r="Q47" s="254"/>
      <c r="R47" s="253"/>
      <c r="T47" s="233" t="s">
        <v>226</v>
      </c>
      <c r="U47" s="233" t="s">
        <v>227</v>
      </c>
    </row>
    <row r="48" spans="4:21" x14ac:dyDescent="0.25">
      <c r="I48" s="253"/>
      <c r="J48" s="253"/>
      <c r="K48" s="253"/>
      <c r="L48" s="253"/>
      <c r="M48" s="253"/>
      <c r="N48" s="253"/>
      <c r="O48" s="253"/>
      <c r="P48" s="253"/>
      <c r="Q48" s="254"/>
      <c r="R48" s="253"/>
      <c r="T48" s="233" t="s">
        <v>228</v>
      </c>
      <c r="U48" s="233" t="s">
        <v>229</v>
      </c>
    </row>
    <row r="49" spans="9:21" x14ac:dyDescent="0.25">
      <c r="I49" s="253"/>
      <c r="J49" s="253"/>
      <c r="K49" s="253"/>
      <c r="L49" s="253"/>
      <c r="M49" s="253"/>
      <c r="N49" s="253"/>
      <c r="O49" s="253"/>
      <c r="P49" s="253"/>
      <c r="Q49" s="254"/>
      <c r="R49" s="253"/>
      <c r="T49" s="233" t="s">
        <v>230</v>
      </c>
      <c r="U49" s="233" t="s">
        <v>231</v>
      </c>
    </row>
    <row r="50" spans="9:21" x14ac:dyDescent="0.25">
      <c r="I50" s="253"/>
      <c r="J50" s="253"/>
      <c r="K50" s="253"/>
      <c r="L50" s="253"/>
      <c r="M50" s="253"/>
      <c r="N50" s="253"/>
      <c r="O50" s="253"/>
      <c r="P50" s="253"/>
      <c r="Q50" s="254"/>
      <c r="R50" s="253"/>
      <c r="T50" s="233" t="s">
        <v>232</v>
      </c>
      <c r="U50" s="233" t="s">
        <v>233</v>
      </c>
    </row>
    <row r="51" spans="9:21" x14ac:dyDescent="0.25">
      <c r="I51" s="253"/>
      <c r="J51" s="253"/>
      <c r="K51" s="253"/>
      <c r="L51" s="253"/>
      <c r="M51" s="253"/>
      <c r="N51" s="253"/>
      <c r="O51" s="253"/>
      <c r="P51" s="253"/>
      <c r="Q51" s="254"/>
      <c r="R51" s="253"/>
      <c r="T51" s="233" t="s">
        <v>234</v>
      </c>
      <c r="U51" s="233" t="s">
        <v>235</v>
      </c>
    </row>
    <row r="52" spans="9:21" x14ac:dyDescent="0.25">
      <c r="I52" s="253"/>
      <c r="J52" s="253"/>
      <c r="K52" s="253"/>
      <c r="L52" s="253"/>
      <c r="M52" s="253"/>
      <c r="N52" s="253"/>
      <c r="O52" s="253"/>
      <c r="P52" s="253"/>
      <c r="Q52" s="254"/>
      <c r="R52" s="253"/>
      <c r="T52" s="233" t="s">
        <v>236</v>
      </c>
      <c r="U52" s="233" t="s">
        <v>237</v>
      </c>
    </row>
    <row r="53" spans="9:21" x14ac:dyDescent="0.25">
      <c r="I53" s="253"/>
      <c r="J53" s="253"/>
      <c r="K53" s="253"/>
      <c r="L53" s="253"/>
      <c r="M53" s="253"/>
      <c r="N53" s="253"/>
      <c r="O53" s="253"/>
      <c r="P53" s="253"/>
      <c r="Q53" s="254"/>
      <c r="R53" s="253"/>
      <c r="T53" s="233" t="s">
        <v>238</v>
      </c>
      <c r="U53" s="233" t="s">
        <v>239</v>
      </c>
    </row>
    <row r="54" spans="9:21" x14ac:dyDescent="0.25">
      <c r="I54" s="253"/>
      <c r="J54" s="253"/>
      <c r="K54" s="253"/>
      <c r="L54" s="253"/>
      <c r="M54" s="253"/>
      <c r="N54" s="253"/>
      <c r="O54" s="253"/>
      <c r="P54" s="253"/>
      <c r="Q54" s="254"/>
      <c r="R54" s="253"/>
      <c r="T54" s="233" t="s">
        <v>240</v>
      </c>
      <c r="U54" s="233" t="s">
        <v>241</v>
      </c>
    </row>
    <row r="55" spans="9:21" x14ac:dyDescent="0.25">
      <c r="I55" s="253"/>
      <c r="J55" s="253"/>
      <c r="K55" s="253"/>
      <c r="L55" s="253"/>
      <c r="M55" s="253"/>
      <c r="N55" s="253"/>
      <c r="O55" s="253"/>
      <c r="P55" s="253"/>
      <c r="Q55" s="254"/>
      <c r="R55" s="253"/>
      <c r="T55" s="233" t="s">
        <v>242</v>
      </c>
      <c r="U55" s="233" t="s">
        <v>243</v>
      </c>
    </row>
    <row r="56" spans="9:21" x14ac:dyDescent="0.25">
      <c r="I56" s="253"/>
      <c r="J56" s="253"/>
      <c r="K56" s="253"/>
      <c r="L56" s="253"/>
      <c r="M56" s="253"/>
      <c r="N56" s="253"/>
      <c r="O56" s="253"/>
      <c r="P56" s="253"/>
      <c r="Q56" s="254"/>
      <c r="R56" s="253"/>
      <c r="T56" s="233" t="s">
        <v>244</v>
      </c>
      <c r="U56" s="233" t="s">
        <v>245</v>
      </c>
    </row>
    <row r="57" spans="9:21" x14ac:dyDescent="0.25">
      <c r="I57" s="253"/>
      <c r="J57" s="253"/>
      <c r="K57" s="253"/>
      <c r="L57" s="253"/>
      <c r="M57" s="253"/>
      <c r="N57" s="253"/>
      <c r="O57" s="253"/>
      <c r="P57" s="253"/>
      <c r="Q57" s="254"/>
      <c r="R57" s="253"/>
      <c r="T57" s="233" t="s">
        <v>246</v>
      </c>
      <c r="U57" s="233" t="s">
        <v>247</v>
      </c>
    </row>
    <row r="58" spans="9:21" x14ac:dyDescent="0.25">
      <c r="I58" s="253"/>
      <c r="J58" s="253"/>
      <c r="K58" s="253"/>
      <c r="L58" s="253"/>
      <c r="M58" s="253"/>
      <c r="N58" s="253"/>
      <c r="O58" s="253"/>
      <c r="P58" s="253"/>
      <c r="Q58" s="254"/>
      <c r="R58" s="253"/>
      <c r="T58" s="233" t="s">
        <v>248</v>
      </c>
      <c r="U58" s="233" t="s">
        <v>249</v>
      </c>
    </row>
    <row r="59" spans="9:21" x14ac:dyDescent="0.25">
      <c r="I59" s="356"/>
      <c r="J59" s="253"/>
      <c r="K59" s="253"/>
      <c r="L59" s="253"/>
      <c r="M59" s="253"/>
      <c r="N59" s="253"/>
      <c r="O59" s="253"/>
      <c r="P59" s="253"/>
      <c r="Q59" s="254"/>
      <c r="R59" s="253"/>
      <c r="T59" s="233" t="s">
        <v>250</v>
      </c>
      <c r="U59" s="233" t="s">
        <v>251</v>
      </c>
    </row>
    <row r="60" spans="9:21" x14ac:dyDescent="0.25">
      <c r="T60" s="233" t="s">
        <v>763</v>
      </c>
      <c r="U60" s="233" t="s">
        <v>762</v>
      </c>
    </row>
    <row r="61" spans="9:21" x14ac:dyDescent="0.25">
      <c r="T61" s="233" t="s">
        <v>252</v>
      </c>
      <c r="U61" s="233" t="s">
        <v>253</v>
      </c>
    </row>
    <row r="62" spans="9:21" x14ac:dyDescent="0.25">
      <c r="T62" s="233" t="s">
        <v>254</v>
      </c>
      <c r="U62" s="233" t="s">
        <v>255</v>
      </c>
    </row>
    <row r="63" spans="9:21" x14ac:dyDescent="0.25">
      <c r="T63" s="233" t="s">
        <v>256</v>
      </c>
      <c r="U63" s="233" t="s">
        <v>257</v>
      </c>
    </row>
    <row r="64" spans="9:21" x14ac:dyDescent="0.25">
      <c r="T64" s="233" t="s">
        <v>34</v>
      </c>
      <c r="U64" s="233" t="s">
        <v>258</v>
      </c>
    </row>
    <row r="65" spans="20:21" x14ac:dyDescent="0.25">
      <c r="T65" s="233" t="s">
        <v>259</v>
      </c>
      <c r="U65" s="233" t="s">
        <v>260</v>
      </c>
    </row>
    <row r="66" spans="20:21" x14ac:dyDescent="0.25">
      <c r="T66" s="233" t="s">
        <v>261</v>
      </c>
      <c r="U66" s="233" t="s">
        <v>262</v>
      </c>
    </row>
    <row r="67" spans="20:21" x14ac:dyDescent="0.25">
      <c r="T67" s="233" t="s">
        <v>263</v>
      </c>
      <c r="U67" s="233" t="s">
        <v>264</v>
      </c>
    </row>
    <row r="68" spans="20:21" x14ac:dyDescent="0.25">
      <c r="T68" s="233" t="s">
        <v>265</v>
      </c>
      <c r="U68" s="233" t="s">
        <v>266</v>
      </c>
    </row>
    <row r="69" spans="20:21" x14ac:dyDescent="0.25">
      <c r="T69" s="233" t="s">
        <v>267</v>
      </c>
      <c r="U69" s="233" t="s">
        <v>268</v>
      </c>
    </row>
    <row r="70" spans="20:21" x14ac:dyDescent="0.25">
      <c r="T70" s="233" t="s">
        <v>269</v>
      </c>
      <c r="U70" s="233" t="s">
        <v>270</v>
      </c>
    </row>
    <row r="71" spans="20:21" x14ac:dyDescent="0.25">
      <c r="T71" s="233" t="s">
        <v>271</v>
      </c>
      <c r="U71" s="233" t="s">
        <v>272</v>
      </c>
    </row>
    <row r="72" spans="20:21" x14ac:dyDescent="0.25">
      <c r="T72" s="233" t="s">
        <v>273</v>
      </c>
      <c r="U72" s="233" t="s">
        <v>274</v>
      </c>
    </row>
    <row r="73" spans="20:21" x14ac:dyDescent="0.25">
      <c r="T73" s="233" t="s">
        <v>275</v>
      </c>
      <c r="U73" s="233" t="s">
        <v>276</v>
      </c>
    </row>
    <row r="74" spans="20:21" x14ac:dyDescent="0.25">
      <c r="T74" s="233" t="s">
        <v>277</v>
      </c>
      <c r="U74" s="233" t="s">
        <v>278</v>
      </c>
    </row>
    <row r="75" spans="20:21" x14ac:dyDescent="0.25">
      <c r="T75" s="233" t="s">
        <v>279</v>
      </c>
      <c r="U75" s="233" t="s">
        <v>280</v>
      </c>
    </row>
    <row r="76" spans="20:21" x14ac:dyDescent="0.25">
      <c r="T76" s="233" t="s">
        <v>281</v>
      </c>
      <c r="U76" s="233" t="s">
        <v>282</v>
      </c>
    </row>
    <row r="77" spans="20:21" x14ac:dyDescent="0.25">
      <c r="T77" s="233" t="s">
        <v>283</v>
      </c>
      <c r="U77" s="233" t="s">
        <v>284</v>
      </c>
    </row>
    <row r="78" spans="20:21" x14ac:dyDescent="0.25">
      <c r="T78" s="233" t="s">
        <v>285</v>
      </c>
      <c r="U78" s="233" t="s">
        <v>286</v>
      </c>
    </row>
    <row r="79" spans="20:21" x14ac:dyDescent="0.25">
      <c r="T79" s="233" t="s">
        <v>287</v>
      </c>
      <c r="U79" s="233" t="s">
        <v>288</v>
      </c>
    </row>
    <row r="80" spans="20:21" x14ac:dyDescent="0.25">
      <c r="T80" s="233" t="s">
        <v>289</v>
      </c>
      <c r="U80" s="233" t="s">
        <v>290</v>
      </c>
    </row>
    <row r="81" spans="20:21" x14ac:dyDescent="0.25">
      <c r="T81" s="233" t="s">
        <v>291</v>
      </c>
      <c r="U81" s="233" t="s">
        <v>292</v>
      </c>
    </row>
    <row r="82" spans="20:21" x14ac:dyDescent="0.25">
      <c r="T82" s="233" t="s">
        <v>293</v>
      </c>
      <c r="U82" s="233" t="s">
        <v>294</v>
      </c>
    </row>
    <row r="83" spans="20:21" x14ac:dyDescent="0.25">
      <c r="T83" s="233" t="s">
        <v>295</v>
      </c>
      <c r="U83" s="233" t="s">
        <v>296</v>
      </c>
    </row>
    <row r="84" spans="20:21" x14ac:dyDescent="0.25">
      <c r="T84" s="233" t="s">
        <v>297</v>
      </c>
      <c r="U84" s="233" t="s">
        <v>298</v>
      </c>
    </row>
    <row r="85" spans="20:21" x14ac:dyDescent="0.25">
      <c r="T85" s="233" t="s">
        <v>299</v>
      </c>
      <c r="U85" s="233" t="s">
        <v>300</v>
      </c>
    </row>
    <row r="86" spans="20:21" x14ac:dyDescent="0.25">
      <c r="T86" s="233" t="s">
        <v>301</v>
      </c>
      <c r="U86" s="233" t="s">
        <v>302</v>
      </c>
    </row>
    <row r="87" spans="20:21" x14ac:dyDescent="0.25">
      <c r="T87" s="233" t="s">
        <v>303</v>
      </c>
      <c r="U87" s="233" t="s">
        <v>304</v>
      </c>
    </row>
    <row r="88" spans="20:21" x14ac:dyDescent="0.25">
      <c r="T88" s="233" t="s">
        <v>305</v>
      </c>
      <c r="U88" s="233" t="s">
        <v>306</v>
      </c>
    </row>
    <row r="89" spans="20:21" x14ac:dyDescent="0.25">
      <c r="T89" s="233" t="s">
        <v>307</v>
      </c>
      <c r="U89" s="233" t="s">
        <v>308</v>
      </c>
    </row>
    <row r="90" spans="20:21" x14ac:dyDescent="0.25">
      <c r="T90" s="233" t="s">
        <v>309</v>
      </c>
      <c r="U90" s="233" t="s">
        <v>310</v>
      </c>
    </row>
    <row r="91" spans="20:21" x14ac:dyDescent="0.25">
      <c r="T91" s="233" t="s">
        <v>311</v>
      </c>
      <c r="U91" s="233" t="s">
        <v>312</v>
      </c>
    </row>
    <row r="92" spans="20:21" x14ac:dyDescent="0.25">
      <c r="T92" s="233" t="s">
        <v>313</v>
      </c>
      <c r="U92" s="233" t="s">
        <v>314</v>
      </c>
    </row>
    <row r="93" spans="20:21" x14ac:dyDescent="0.25">
      <c r="T93" s="233" t="s">
        <v>315</v>
      </c>
      <c r="U93" s="233" t="s">
        <v>316</v>
      </c>
    </row>
    <row r="94" spans="20:21" x14ac:dyDescent="0.25">
      <c r="T94" s="233" t="s">
        <v>317</v>
      </c>
      <c r="U94" s="233" t="s">
        <v>318</v>
      </c>
    </row>
    <row r="95" spans="20:21" x14ac:dyDescent="0.25">
      <c r="T95" s="233" t="s">
        <v>319</v>
      </c>
      <c r="U95" s="233" t="s">
        <v>320</v>
      </c>
    </row>
    <row r="96" spans="20:21" x14ac:dyDescent="0.25">
      <c r="T96" s="233" t="s">
        <v>321</v>
      </c>
      <c r="U96" s="233" t="s">
        <v>322</v>
      </c>
    </row>
    <row r="97" spans="20:21" x14ac:dyDescent="0.25">
      <c r="T97" s="233" t="s">
        <v>323</v>
      </c>
      <c r="U97" s="233" t="s">
        <v>324</v>
      </c>
    </row>
    <row r="98" spans="20:21" x14ac:dyDescent="0.25">
      <c r="T98" s="233" t="s">
        <v>325</v>
      </c>
      <c r="U98" s="233" t="s">
        <v>326</v>
      </c>
    </row>
    <row r="99" spans="20:21" x14ac:dyDescent="0.25">
      <c r="T99" s="233" t="s">
        <v>327</v>
      </c>
      <c r="U99" s="233" t="s">
        <v>328</v>
      </c>
    </row>
    <row r="100" spans="20:21" x14ac:dyDescent="0.25">
      <c r="T100" s="233" t="s">
        <v>329</v>
      </c>
      <c r="U100" s="233" t="s">
        <v>330</v>
      </c>
    </row>
    <row r="101" spans="20:21" x14ac:dyDescent="0.25">
      <c r="T101" s="233" t="s">
        <v>331</v>
      </c>
      <c r="U101" s="233" t="s">
        <v>332</v>
      </c>
    </row>
    <row r="102" spans="20:21" x14ac:dyDescent="0.25">
      <c r="T102" s="233" t="s">
        <v>333</v>
      </c>
      <c r="U102" s="233" t="s">
        <v>334</v>
      </c>
    </row>
    <row r="103" spans="20:21" x14ac:dyDescent="0.25">
      <c r="T103" s="233" t="s">
        <v>335</v>
      </c>
      <c r="U103" s="233" t="s">
        <v>336</v>
      </c>
    </row>
    <row r="104" spans="20:21" x14ac:dyDescent="0.25">
      <c r="T104" s="233" t="s">
        <v>337</v>
      </c>
      <c r="U104" s="233" t="s">
        <v>338</v>
      </c>
    </row>
    <row r="105" spans="20:21" x14ac:dyDescent="0.25">
      <c r="T105" s="233" t="s">
        <v>339</v>
      </c>
      <c r="U105" s="233" t="s">
        <v>340</v>
      </c>
    </row>
    <row r="106" spans="20:21" x14ac:dyDescent="0.25">
      <c r="T106" s="233" t="s">
        <v>341</v>
      </c>
      <c r="U106" s="233" t="s">
        <v>342</v>
      </c>
    </row>
    <row r="107" spans="20:21" x14ac:dyDescent="0.25">
      <c r="T107" s="233" t="s">
        <v>343</v>
      </c>
      <c r="U107" s="233" t="s">
        <v>344</v>
      </c>
    </row>
    <row r="108" spans="20:21" x14ac:dyDescent="0.25">
      <c r="T108" s="233" t="s">
        <v>345</v>
      </c>
      <c r="U108" s="233" t="s">
        <v>346</v>
      </c>
    </row>
    <row r="109" spans="20:21" x14ac:dyDescent="0.25">
      <c r="T109" s="233" t="s">
        <v>347</v>
      </c>
      <c r="U109" s="233" t="s">
        <v>348</v>
      </c>
    </row>
    <row r="110" spans="20:21" x14ac:dyDescent="0.25">
      <c r="T110" s="233" t="s">
        <v>349</v>
      </c>
      <c r="U110" s="233" t="s">
        <v>350</v>
      </c>
    </row>
    <row r="111" spans="20:21" x14ac:dyDescent="0.25">
      <c r="T111" s="233" t="s">
        <v>351</v>
      </c>
      <c r="U111" s="233" t="s">
        <v>352</v>
      </c>
    </row>
    <row r="112" spans="20:21" x14ac:dyDescent="0.25">
      <c r="T112" s="233" t="s">
        <v>353</v>
      </c>
      <c r="U112" s="233" t="s">
        <v>354</v>
      </c>
    </row>
    <row r="113" spans="20:21" x14ac:dyDescent="0.25">
      <c r="T113" s="233" t="s">
        <v>355</v>
      </c>
      <c r="U113" s="233" t="s">
        <v>356</v>
      </c>
    </row>
    <row r="114" spans="20:21" x14ac:dyDescent="0.25">
      <c r="T114" s="233" t="s">
        <v>357</v>
      </c>
      <c r="U114" s="233" t="s">
        <v>358</v>
      </c>
    </row>
    <row r="115" spans="20:21" x14ac:dyDescent="0.25">
      <c r="T115" s="233" t="s">
        <v>359</v>
      </c>
      <c r="U115" s="233" t="s">
        <v>360</v>
      </c>
    </row>
    <row r="116" spans="20:21" x14ac:dyDescent="0.25">
      <c r="T116" s="233" t="s">
        <v>361</v>
      </c>
      <c r="U116" s="233" t="s">
        <v>362</v>
      </c>
    </row>
    <row r="117" spans="20:21" x14ac:dyDescent="0.25">
      <c r="T117" s="233" t="s">
        <v>363</v>
      </c>
      <c r="U117" s="233" t="s">
        <v>364</v>
      </c>
    </row>
    <row r="118" spans="20:21" x14ac:dyDescent="0.25">
      <c r="T118" s="233" t="s">
        <v>365</v>
      </c>
      <c r="U118" s="233" t="s">
        <v>366</v>
      </c>
    </row>
    <row r="119" spans="20:21" x14ac:dyDescent="0.25">
      <c r="T119" s="233" t="s">
        <v>367</v>
      </c>
      <c r="U119" s="233" t="s">
        <v>368</v>
      </c>
    </row>
    <row r="120" spans="20:21" x14ac:dyDescent="0.25">
      <c r="T120" s="233" t="s">
        <v>369</v>
      </c>
      <c r="U120" s="233" t="s">
        <v>370</v>
      </c>
    </row>
    <row r="121" spans="20:21" x14ac:dyDescent="0.25">
      <c r="T121" s="233" t="s">
        <v>371</v>
      </c>
      <c r="U121" s="233" t="s">
        <v>372</v>
      </c>
    </row>
    <row r="122" spans="20:21" x14ac:dyDescent="0.25">
      <c r="T122" s="233" t="s">
        <v>751</v>
      </c>
      <c r="U122" s="233" t="s">
        <v>373</v>
      </c>
    </row>
    <row r="123" spans="20:21" x14ac:dyDescent="0.25">
      <c r="T123" s="233" t="s">
        <v>752</v>
      </c>
      <c r="U123" s="233" t="s">
        <v>374</v>
      </c>
    </row>
    <row r="124" spans="20:21" x14ac:dyDescent="0.25">
      <c r="T124" s="233" t="s">
        <v>375</v>
      </c>
      <c r="U124" s="233" t="s">
        <v>376</v>
      </c>
    </row>
    <row r="125" spans="20:21" x14ac:dyDescent="0.25">
      <c r="T125" s="233" t="s">
        <v>377</v>
      </c>
      <c r="U125" s="233" t="s">
        <v>378</v>
      </c>
    </row>
    <row r="126" spans="20:21" x14ac:dyDescent="0.25">
      <c r="T126" s="233" t="s">
        <v>379</v>
      </c>
      <c r="U126" s="233" t="s">
        <v>380</v>
      </c>
    </row>
    <row r="127" spans="20:21" x14ac:dyDescent="0.25">
      <c r="T127" s="233" t="s">
        <v>381</v>
      </c>
      <c r="U127" s="233" t="s">
        <v>382</v>
      </c>
    </row>
    <row r="128" spans="20:21" x14ac:dyDescent="0.25">
      <c r="T128" s="233" t="s">
        <v>383</v>
      </c>
      <c r="U128" s="233" t="s">
        <v>384</v>
      </c>
    </row>
    <row r="129" spans="20:21" x14ac:dyDescent="0.25">
      <c r="T129" s="233" t="s">
        <v>385</v>
      </c>
      <c r="U129" s="233" t="s">
        <v>386</v>
      </c>
    </row>
    <row r="130" spans="20:21" x14ac:dyDescent="0.25">
      <c r="T130" s="233" t="s">
        <v>387</v>
      </c>
      <c r="U130" s="233" t="s">
        <v>388</v>
      </c>
    </row>
    <row r="131" spans="20:21" x14ac:dyDescent="0.25">
      <c r="T131" s="233" t="s">
        <v>753</v>
      </c>
      <c r="U131" s="233" t="s">
        <v>389</v>
      </c>
    </row>
    <row r="132" spans="20:21" x14ac:dyDescent="0.25">
      <c r="T132" s="233" t="s">
        <v>390</v>
      </c>
      <c r="U132" s="233" t="s">
        <v>391</v>
      </c>
    </row>
    <row r="133" spans="20:21" x14ac:dyDescent="0.25">
      <c r="T133" s="233" t="s">
        <v>392</v>
      </c>
      <c r="U133" s="233" t="s">
        <v>393</v>
      </c>
    </row>
    <row r="134" spans="20:21" x14ac:dyDescent="0.25">
      <c r="T134" s="233" t="s">
        <v>394</v>
      </c>
      <c r="U134" s="233" t="s">
        <v>395</v>
      </c>
    </row>
    <row r="135" spans="20:21" x14ac:dyDescent="0.25">
      <c r="T135" s="233" t="s">
        <v>396</v>
      </c>
      <c r="U135" s="233" t="s">
        <v>397</v>
      </c>
    </row>
    <row r="136" spans="20:21" x14ac:dyDescent="0.25">
      <c r="T136" s="233" t="s">
        <v>398</v>
      </c>
      <c r="U136" s="233" t="s">
        <v>399</v>
      </c>
    </row>
    <row r="137" spans="20:21" x14ac:dyDescent="0.25">
      <c r="T137" s="233" t="s">
        <v>400</v>
      </c>
      <c r="U137" s="233" t="s">
        <v>401</v>
      </c>
    </row>
    <row r="138" spans="20:21" x14ac:dyDescent="0.25">
      <c r="T138" s="233" t="s">
        <v>402</v>
      </c>
      <c r="U138" s="233" t="s">
        <v>403</v>
      </c>
    </row>
    <row r="139" spans="20:21" x14ac:dyDescent="0.25">
      <c r="T139" s="233" t="s">
        <v>404</v>
      </c>
      <c r="U139" s="233" t="s">
        <v>405</v>
      </c>
    </row>
    <row r="140" spans="20:21" x14ac:dyDescent="0.25">
      <c r="T140" s="233" t="s">
        <v>406</v>
      </c>
      <c r="U140" s="233" t="s">
        <v>407</v>
      </c>
    </row>
    <row r="141" spans="20:21" x14ac:dyDescent="0.25">
      <c r="T141" s="233" t="s">
        <v>408</v>
      </c>
      <c r="U141" s="233" t="s">
        <v>409</v>
      </c>
    </row>
    <row r="142" spans="20:21" x14ac:dyDescent="0.25">
      <c r="T142" s="233" t="s">
        <v>410</v>
      </c>
      <c r="U142" s="233" t="s">
        <v>411</v>
      </c>
    </row>
    <row r="143" spans="20:21" x14ac:dyDescent="0.25">
      <c r="T143" s="233" t="s">
        <v>412</v>
      </c>
      <c r="U143" s="233" t="s">
        <v>413</v>
      </c>
    </row>
    <row r="144" spans="20:21" x14ac:dyDescent="0.25">
      <c r="T144" s="233" t="s">
        <v>414</v>
      </c>
      <c r="U144" s="233" t="s">
        <v>415</v>
      </c>
    </row>
    <row r="145" spans="20:21" x14ac:dyDescent="0.25">
      <c r="T145" s="233" t="s">
        <v>416</v>
      </c>
      <c r="U145" s="233" t="s">
        <v>417</v>
      </c>
    </row>
    <row r="146" spans="20:21" x14ac:dyDescent="0.25">
      <c r="T146" s="233" t="s">
        <v>418</v>
      </c>
      <c r="U146" s="233" t="s">
        <v>419</v>
      </c>
    </row>
    <row r="147" spans="20:21" x14ac:dyDescent="0.25">
      <c r="T147" s="233" t="s">
        <v>420</v>
      </c>
      <c r="U147" s="233" t="s">
        <v>421</v>
      </c>
    </row>
    <row r="148" spans="20:21" x14ac:dyDescent="0.25">
      <c r="T148" s="233" t="s">
        <v>422</v>
      </c>
      <c r="U148" s="233" t="s">
        <v>423</v>
      </c>
    </row>
    <row r="149" spans="20:21" x14ac:dyDescent="0.25">
      <c r="T149" s="233" t="s">
        <v>424</v>
      </c>
      <c r="U149" s="233" t="s">
        <v>425</v>
      </c>
    </row>
    <row r="150" spans="20:21" x14ac:dyDescent="0.25">
      <c r="T150" s="233" t="s">
        <v>426</v>
      </c>
      <c r="U150" s="233" t="s">
        <v>427</v>
      </c>
    </row>
    <row r="151" spans="20:21" x14ac:dyDescent="0.25">
      <c r="T151" s="233" t="s">
        <v>428</v>
      </c>
      <c r="U151" s="233" t="s">
        <v>429</v>
      </c>
    </row>
    <row r="152" spans="20:21" x14ac:dyDescent="0.25">
      <c r="T152" s="233" t="s">
        <v>430</v>
      </c>
      <c r="U152" s="233" t="s">
        <v>431</v>
      </c>
    </row>
    <row r="153" spans="20:21" x14ac:dyDescent="0.25">
      <c r="T153" s="233" t="s">
        <v>432</v>
      </c>
      <c r="U153" s="233" t="s">
        <v>433</v>
      </c>
    </row>
    <row r="154" spans="20:21" x14ac:dyDescent="0.25">
      <c r="T154" s="233" t="s">
        <v>749</v>
      </c>
      <c r="U154" s="233" t="s">
        <v>526</v>
      </c>
    </row>
    <row r="155" spans="20:21" x14ac:dyDescent="0.25">
      <c r="T155" s="233" t="s">
        <v>434</v>
      </c>
      <c r="U155" s="233" t="s">
        <v>435</v>
      </c>
    </row>
    <row r="156" spans="20:21" x14ac:dyDescent="0.25">
      <c r="T156" s="233" t="s">
        <v>436</v>
      </c>
      <c r="U156" s="233" t="s">
        <v>437</v>
      </c>
    </row>
    <row r="157" spans="20:21" x14ac:dyDescent="0.25">
      <c r="T157" s="233" t="s">
        <v>438</v>
      </c>
      <c r="U157" s="233" t="s">
        <v>439</v>
      </c>
    </row>
    <row r="158" spans="20:21" x14ac:dyDescent="0.25">
      <c r="T158" s="233" t="s">
        <v>440</v>
      </c>
      <c r="U158" s="233" t="s">
        <v>207</v>
      </c>
    </row>
    <row r="159" spans="20:21" x14ac:dyDescent="0.25">
      <c r="T159" s="233" t="s">
        <v>440</v>
      </c>
      <c r="U159" s="233" t="s">
        <v>441</v>
      </c>
    </row>
    <row r="160" spans="20:21" x14ac:dyDescent="0.25">
      <c r="T160" s="233" t="s">
        <v>442</v>
      </c>
      <c r="U160" s="233" t="s">
        <v>443</v>
      </c>
    </row>
    <row r="161" spans="20:21" x14ac:dyDescent="0.25">
      <c r="T161" s="233" t="s">
        <v>444</v>
      </c>
      <c r="U161" s="233" t="s">
        <v>445</v>
      </c>
    </row>
    <row r="162" spans="20:21" x14ac:dyDescent="0.25">
      <c r="T162" s="233" t="s">
        <v>446</v>
      </c>
      <c r="U162" s="233" t="s">
        <v>447</v>
      </c>
    </row>
    <row r="163" spans="20:21" x14ac:dyDescent="0.25">
      <c r="T163" s="233" t="s">
        <v>448</v>
      </c>
      <c r="U163" s="233" t="s">
        <v>449</v>
      </c>
    </row>
    <row r="164" spans="20:21" x14ac:dyDescent="0.25">
      <c r="T164" s="233" t="s">
        <v>450</v>
      </c>
      <c r="U164" s="233" t="s">
        <v>451</v>
      </c>
    </row>
    <row r="165" spans="20:21" x14ac:dyDescent="0.25">
      <c r="T165" s="233" t="s">
        <v>452</v>
      </c>
      <c r="U165" s="233" t="s">
        <v>453</v>
      </c>
    </row>
    <row r="166" spans="20:21" x14ac:dyDescent="0.25">
      <c r="T166" s="233" t="s">
        <v>454</v>
      </c>
      <c r="U166" s="233" t="s">
        <v>455</v>
      </c>
    </row>
    <row r="167" spans="20:21" x14ac:dyDescent="0.25">
      <c r="T167" s="233" t="s">
        <v>456</v>
      </c>
      <c r="U167" s="233" t="s">
        <v>457</v>
      </c>
    </row>
    <row r="168" spans="20:21" x14ac:dyDescent="0.25">
      <c r="T168" s="233" t="s">
        <v>458</v>
      </c>
      <c r="U168" s="233" t="s">
        <v>459</v>
      </c>
    </row>
    <row r="169" spans="20:21" x14ac:dyDescent="0.25">
      <c r="T169" s="233" t="s">
        <v>460</v>
      </c>
      <c r="U169" s="233" t="s">
        <v>461</v>
      </c>
    </row>
    <row r="170" spans="20:21" x14ac:dyDescent="0.25">
      <c r="T170" s="233" t="s">
        <v>462</v>
      </c>
      <c r="U170" s="233" t="s">
        <v>463</v>
      </c>
    </row>
    <row r="171" spans="20:21" x14ac:dyDescent="0.25">
      <c r="T171" s="233" t="s">
        <v>464</v>
      </c>
      <c r="U171" s="233" t="s">
        <v>465</v>
      </c>
    </row>
    <row r="172" spans="20:21" x14ac:dyDescent="0.25">
      <c r="T172" s="233" t="s">
        <v>466</v>
      </c>
      <c r="U172" s="233" t="s">
        <v>467</v>
      </c>
    </row>
    <row r="173" spans="20:21" x14ac:dyDescent="0.25">
      <c r="T173" s="233" t="s">
        <v>468</v>
      </c>
      <c r="U173" s="233" t="s">
        <v>469</v>
      </c>
    </row>
    <row r="174" spans="20:21" x14ac:dyDescent="0.25">
      <c r="T174" s="233" t="s">
        <v>470</v>
      </c>
      <c r="U174" s="233" t="s">
        <v>471</v>
      </c>
    </row>
    <row r="175" spans="20:21" x14ac:dyDescent="0.25">
      <c r="T175" s="233" t="s">
        <v>472</v>
      </c>
      <c r="U175" s="233" t="s">
        <v>473</v>
      </c>
    </row>
    <row r="176" spans="20:21" x14ac:dyDescent="0.25">
      <c r="T176" s="233" t="s">
        <v>474</v>
      </c>
      <c r="U176" s="233" t="s">
        <v>475</v>
      </c>
    </row>
    <row r="177" spans="20:21" x14ac:dyDescent="0.25">
      <c r="T177" s="233" t="s">
        <v>476</v>
      </c>
      <c r="U177" s="233" t="s">
        <v>477</v>
      </c>
    </row>
    <row r="178" spans="20:21" x14ac:dyDescent="0.25">
      <c r="T178" s="233" t="s">
        <v>478</v>
      </c>
      <c r="U178" s="233" t="s">
        <v>479</v>
      </c>
    </row>
    <row r="179" spans="20:21" x14ac:dyDescent="0.25">
      <c r="T179" s="233" t="s">
        <v>480</v>
      </c>
      <c r="U179" s="233" t="s">
        <v>481</v>
      </c>
    </row>
    <row r="180" spans="20:21" x14ac:dyDescent="0.25">
      <c r="T180" s="233" t="s">
        <v>482</v>
      </c>
      <c r="U180" s="233" t="s">
        <v>483</v>
      </c>
    </row>
    <row r="181" spans="20:21" x14ac:dyDescent="0.25">
      <c r="T181" s="233" t="s">
        <v>484</v>
      </c>
      <c r="U181" s="233" t="s">
        <v>485</v>
      </c>
    </row>
    <row r="182" spans="20:21" x14ac:dyDescent="0.25">
      <c r="T182" s="233" t="s">
        <v>486</v>
      </c>
      <c r="U182" s="233" t="s">
        <v>487</v>
      </c>
    </row>
    <row r="183" spans="20:21" x14ac:dyDescent="0.25">
      <c r="T183" s="233" t="s">
        <v>488</v>
      </c>
      <c r="U183" s="233" t="s">
        <v>489</v>
      </c>
    </row>
    <row r="184" spans="20:21" x14ac:dyDescent="0.25">
      <c r="T184" s="233" t="s">
        <v>490</v>
      </c>
      <c r="U184" s="233" t="s">
        <v>491</v>
      </c>
    </row>
    <row r="185" spans="20:21" x14ac:dyDescent="0.25">
      <c r="T185" s="233" t="s">
        <v>492</v>
      </c>
      <c r="U185" s="233" t="s">
        <v>493</v>
      </c>
    </row>
    <row r="186" spans="20:21" x14ac:dyDescent="0.25">
      <c r="T186" s="233" t="s">
        <v>494</v>
      </c>
      <c r="U186" s="233" t="s">
        <v>495</v>
      </c>
    </row>
    <row r="187" spans="20:21" x14ac:dyDescent="0.25">
      <c r="T187" s="233" t="s">
        <v>496</v>
      </c>
      <c r="U187" s="233" t="s">
        <v>497</v>
      </c>
    </row>
    <row r="188" spans="20:21" x14ac:dyDescent="0.25">
      <c r="T188" s="233" t="s">
        <v>498</v>
      </c>
      <c r="U188" s="233" t="s">
        <v>499</v>
      </c>
    </row>
    <row r="189" spans="20:21" x14ac:dyDescent="0.25">
      <c r="T189" s="233" t="s">
        <v>500</v>
      </c>
      <c r="U189" s="233" t="s">
        <v>501</v>
      </c>
    </row>
    <row r="190" spans="20:21" x14ac:dyDescent="0.25">
      <c r="T190" s="233" t="s">
        <v>502</v>
      </c>
      <c r="U190" s="233" t="s">
        <v>503</v>
      </c>
    </row>
    <row r="191" spans="20:21" x14ac:dyDescent="0.25">
      <c r="T191" s="233" t="s">
        <v>504</v>
      </c>
      <c r="U191" s="233" t="s">
        <v>505</v>
      </c>
    </row>
    <row r="192" spans="20:21" x14ac:dyDescent="0.25">
      <c r="T192" s="233" t="s">
        <v>506</v>
      </c>
      <c r="U192" s="233" t="s">
        <v>507</v>
      </c>
    </row>
    <row r="193" spans="20:21" x14ac:dyDescent="0.25">
      <c r="T193" s="233" t="s">
        <v>508</v>
      </c>
      <c r="U193" s="233" t="s">
        <v>509</v>
      </c>
    </row>
    <row r="194" spans="20:21" x14ac:dyDescent="0.25">
      <c r="T194" s="233" t="s">
        <v>510</v>
      </c>
      <c r="U194" s="233" t="s">
        <v>511</v>
      </c>
    </row>
    <row r="195" spans="20:21" x14ac:dyDescent="0.25">
      <c r="T195" s="233" t="s">
        <v>512</v>
      </c>
      <c r="U195" s="233" t="s">
        <v>513</v>
      </c>
    </row>
    <row r="196" spans="20:21" x14ac:dyDescent="0.25">
      <c r="T196" s="233" t="s">
        <v>514</v>
      </c>
      <c r="U196" s="233" t="s">
        <v>515</v>
      </c>
    </row>
    <row r="197" spans="20:21" x14ac:dyDescent="0.25">
      <c r="T197" s="233" t="s">
        <v>516</v>
      </c>
      <c r="U197" s="233" t="s">
        <v>517</v>
      </c>
    </row>
    <row r="198" spans="20:21" x14ac:dyDescent="0.25">
      <c r="T198" s="233" t="s">
        <v>518</v>
      </c>
      <c r="U198" s="233" t="s">
        <v>519</v>
      </c>
    </row>
    <row r="199" spans="20:21" x14ac:dyDescent="0.25">
      <c r="T199" s="233" t="s">
        <v>520</v>
      </c>
      <c r="U199" s="233" t="s">
        <v>521</v>
      </c>
    </row>
    <row r="200" spans="20:21" x14ac:dyDescent="0.25">
      <c r="T200" s="233" t="s">
        <v>522</v>
      </c>
      <c r="U200" s="233" t="s">
        <v>523</v>
      </c>
    </row>
    <row r="201" spans="20:21" x14ac:dyDescent="0.25">
      <c r="T201" s="233" t="s">
        <v>524</v>
      </c>
      <c r="U201" s="233" t="s">
        <v>525</v>
      </c>
    </row>
    <row r="202" spans="20:21" x14ac:dyDescent="0.25">
      <c r="T202" s="233" t="s">
        <v>759</v>
      </c>
      <c r="U202" s="233" t="s">
        <v>758</v>
      </c>
    </row>
    <row r="203" spans="20:21" x14ac:dyDescent="0.25">
      <c r="T203" s="233" t="s">
        <v>527</v>
      </c>
      <c r="U203" s="233" t="s">
        <v>528</v>
      </c>
    </row>
    <row r="204" spans="20:21" x14ac:dyDescent="0.25">
      <c r="T204" s="233" t="s">
        <v>529</v>
      </c>
      <c r="U204" s="233" t="s">
        <v>530</v>
      </c>
    </row>
    <row r="205" spans="20:21" x14ac:dyDescent="0.25">
      <c r="T205" s="233" t="s">
        <v>531</v>
      </c>
      <c r="U205" s="233" t="s">
        <v>532</v>
      </c>
    </row>
    <row r="206" spans="20:21" x14ac:dyDescent="0.25">
      <c r="T206" s="233" t="s">
        <v>765</v>
      </c>
      <c r="U206" s="233" t="s">
        <v>764</v>
      </c>
    </row>
    <row r="207" spans="20:21" x14ac:dyDescent="0.25">
      <c r="T207" s="233" t="s">
        <v>533</v>
      </c>
      <c r="U207" s="233" t="s">
        <v>534</v>
      </c>
    </row>
    <row r="208" spans="20:21" x14ac:dyDescent="0.25">
      <c r="T208" s="233" t="s">
        <v>535</v>
      </c>
      <c r="U208" s="233" t="s">
        <v>536</v>
      </c>
    </row>
    <row r="209" spans="20:21" x14ac:dyDescent="0.25">
      <c r="T209" s="233" t="s">
        <v>537</v>
      </c>
      <c r="U209" s="233" t="s">
        <v>538</v>
      </c>
    </row>
    <row r="210" spans="20:21" x14ac:dyDescent="0.25">
      <c r="T210" s="233" t="s">
        <v>539</v>
      </c>
      <c r="U210" s="233" t="s">
        <v>540</v>
      </c>
    </row>
    <row r="211" spans="20:21" x14ac:dyDescent="0.25">
      <c r="T211" s="233" t="s">
        <v>541</v>
      </c>
      <c r="U211" s="233" t="s">
        <v>542</v>
      </c>
    </row>
    <row r="212" spans="20:21" x14ac:dyDescent="0.25">
      <c r="T212" s="233" t="s">
        <v>543</v>
      </c>
      <c r="U212" s="233" t="s">
        <v>544</v>
      </c>
    </row>
    <row r="213" spans="20:21" x14ac:dyDescent="0.25">
      <c r="T213" s="233" t="s">
        <v>545</v>
      </c>
      <c r="U213" s="233" t="s">
        <v>546</v>
      </c>
    </row>
    <row r="214" spans="20:21" x14ac:dyDescent="0.25">
      <c r="T214" s="233" t="s">
        <v>547</v>
      </c>
      <c r="U214" s="233" t="s">
        <v>548</v>
      </c>
    </row>
    <row r="215" spans="20:21" x14ac:dyDescent="0.25">
      <c r="T215" s="233" t="s">
        <v>549</v>
      </c>
      <c r="U215" s="233" t="s">
        <v>550</v>
      </c>
    </row>
    <row r="216" spans="20:21" x14ac:dyDescent="0.25">
      <c r="T216" s="233" t="s">
        <v>551</v>
      </c>
      <c r="U216" s="233" t="s">
        <v>552</v>
      </c>
    </row>
    <row r="217" spans="20:21" x14ac:dyDescent="0.25">
      <c r="T217" s="233" t="s">
        <v>553</v>
      </c>
      <c r="U217" s="233" t="s">
        <v>554</v>
      </c>
    </row>
    <row r="218" spans="20:21" x14ac:dyDescent="0.25">
      <c r="T218" s="233" t="s">
        <v>555</v>
      </c>
      <c r="U218" s="233" t="s">
        <v>556</v>
      </c>
    </row>
    <row r="219" spans="20:21" x14ac:dyDescent="0.25">
      <c r="T219" s="233" t="s">
        <v>557</v>
      </c>
      <c r="U219" s="233" t="s">
        <v>558</v>
      </c>
    </row>
    <row r="220" spans="20:21" x14ac:dyDescent="0.25">
      <c r="T220" s="233" t="s">
        <v>559</v>
      </c>
      <c r="U220" s="233" t="s">
        <v>560</v>
      </c>
    </row>
    <row r="221" spans="20:21" x14ac:dyDescent="0.25">
      <c r="T221" s="233" t="s">
        <v>561</v>
      </c>
      <c r="U221" s="233" t="s">
        <v>562</v>
      </c>
    </row>
    <row r="222" spans="20:21" x14ac:dyDescent="0.25">
      <c r="T222" s="233" t="s">
        <v>563</v>
      </c>
      <c r="U222" s="233" t="s">
        <v>564</v>
      </c>
    </row>
    <row r="223" spans="20:21" x14ac:dyDescent="0.25">
      <c r="T223" s="233" t="s">
        <v>565</v>
      </c>
      <c r="U223" s="233" t="s">
        <v>566</v>
      </c>
    </row>
    <row r="224" spans="20:21" x14ac:dyDescent="0.25">
      <c r="T224" s="233" t="s">
        <v>567</v>
      </c>
      <c r="U224" s="233" t="s">
        <v>568</v>
      </c>
    </row>
    <row r="225" spans="20:21" x14ac:dyDescent="0.25">
      <c r="T225" s="233" t="s">
        <v>569</v>
      </c>
      <c r="U225" s="233" t="s">
        <v>570</v>
      </c>
    </row>
    <row r="226" spans="20:21" x14ac:dyDescent="0.25">
      <c r="T226" s="233" t="s">
        <v>755</v>
      </c>
      <c r="U226" s="233" t="s">
        <v>754</v>
      </c>
    </row>
    <row r="227" spans="20:21" x14ac:dyDescent="0.25">
      <c r="T227" s="233" t="s">
        <v>571</v>
      </c>
      <c r="U227" s="233" t="s">
        <v>572</v>
      </c>
    </row>
    <row r="228" spans="20:21" x14ac:dyDescent="0.25">
      <c r="T228" s="233" t="s">
        <v>573</v>
      </c>
      <c r="U228" s="233" t="s">
        <v>574</v>
      </c>
    </row>
    <row r="229" spans="20:21" x14ac:dyDescent="0.25">
      <c r="T229" s="233" t="s">
        <v>575</v>
      </c>
      <c r="U229" s="233" t="s">
        <v>576</v>
      </c>
    </row>
    <row r="230" spans="20:21" x14ac:dyDescent="0.25">
      <c r="T230" s="233" t="s">
        <v>577</v>
      </c>
      <c r="U230" s="233" t="s">
        <v>578</v>
      </c>
    </row>
    <row r="231" spans="20:21" x14ac:dyDescent="0.25">
      <c r="T231" s="233" t="s">
        <v>579</v>
      </c>
      <c r="U231" s="233" t="s">
        <v>580</v>
      </c>
    </row>
    <row r="232" spans="20:21" x14ac:dyDescent="0.25">
      <c r="T232" s="233" t="s">
        <v>581</v>
      </c>
      <c r="U232" s="233" t="s">
        <v>582</v>
      </c>
    </row>
    <row r="233" spans="20:21" x14ac:dyDescent="0.25">
      <c r="T233" s="233" t="s">
        <v>583</v>
      </c>
      <c r="U233" s="233" t="s">
        <v>584</v>
      </c>
    </row>
    <row r="234" spans="20:21" x14ac:dyDescent="0.25">
      <c r="T234" s="233" t="s">
        <v>585</v>
      </c>
      <c r="U234" s="233" t="s">
        <v>586</v>
      </c>
    </row>
    <row r="235" spans="20:21" x14ac:dyDescent="0.25">
      <c r="T235" s="233" t="s">
        <v>587</v>
      </c>
      <c r="U235" s="233" t="s">
        <v>588</v>
      </c>
    </row>
    <row r="236" spans="20:21" x14ac:dyDescent="0.25">
      <c r="T236" s="233" t="s">
        <v>589</v>
      </c>
      <c r="U236" s="233" t="s">
        <v>590</v>
      </c>
    </row>
    <row r="237" spans="20:21" x14ac:dyDescent="0.25">
      <c r="T237" s="233" t="s">
        <v>591</v>
      </c>
      <c r="U237" s="233" t="s">
        <v>592</v>
      </c>
    </row>
    <row r="238" spans="20:21" x14ac:dyDescent="0.25">
      <c r="T238" s="233" t="s">
        <v>593</v>
      </c>
      <c r="U238" s="233" t="s">
        <v>594</v>
      </c>
    </row>
    <row r="239" spans="20:21" x14ac:dyDescent="0.25">
      <c r="T239" s="233" t="s">
        <v>595</v>
      </c>
      <c r="U239" s="233" t="s">
        <v>596</v>
      </c>
    </row>
    <row r="240" spans="20:21" x14ac:dyDescent="0.25">
      <c r="T240" s="233" t="s">
        <v>597</v>
      </c>
      <c r="U240" s="233" t="s">
        <v>598</v>
      </c>
    </row>
    <row r="241" spans="20:21" x14ac:dyDescent="0.25">
      <c r="T241" s="233" t="s">
        <v>756</v>
      </c>
      <c r="U241" s="233" t="s">
        <v>599</v>
      </c>
    </row>
    <row r="242" spans="20:21" x14ac:dyDescent="0.25">
      <c r="T242" s="233" t="s">
        <v>600</v>
      </c>
      <c r="U242" s="233" t="s">
        <v>601</v>
      </c>
    </row>
    <row r="243" spans="20:21" x14ac:dyDescent="0.25">
      <c r="T243" s="233" t="s">
        <v>602</v>
      </c>
      <c r="U243" s="233" t="s">
        <v>603</v>
      </c>
    </row>
    <row r="244" spans="20:21" x14ac:dyDescent="0.25">
      <c r="T244" s="233" t="s">
        <v>604</v>
      </c>
      <c r="U244" s="233" t="s">
        <v>605</v>
      </c>
    </row>
    <row r="245" spans="20:21" x14ac:dyDescent="0.25">
      <c r="T245" s="233" t="s">
        <v>606</v>
      </c>
      <c r="U245" s="233" t="s">
        <v>607</v>
      </c>
    </row>
    <row r="246" spans="20:21" x14ac:dyDescent="0.25">
      <c r="T246" s="233" t="s">
        <v>757</v>
      </c>
      <c r="U246" s="233" t="s">
        <v>608</v>
      </c>
    </row>
    <row r="247" spans="20:21" x14ac:dyDescent="0.25">
      <c r="T247" s="233" t="s">
        <v>609</v>
      </c>
      <c r="U247" s="233" t="s">
        <v>610</v>
      </c>
    </row>
    <row r="248" spans="20:21" x14ac:dyDescent="0.25">
      <c r="T248" s="233" t="s">
        <v>611</v>
      </c>
      <c r="U248" s="233" t="s">
        <v>612</v>
      </c>
    </row>
    <row r="249" spans="20:21" x14ac:dyDescent="0.25">
      <c r="T249" s="233" t="s">
        <v>613</v>
      </c>
      <c r="U249" s="233" t="s">
        <v>614</v>
      </c>
    </row>
    <row r="250" spans="20:21" x14ac:dyDescent="0.25">
      <c r="T250" s="233" t="s">
        <v>615</v>
      </c>
      <c r="U250" s="233" t="s">
        <v>616</v>
      </c>
    </row>
    <row r="251" spans="20:21" x14ac:dyDescent="0.25">
      <c r="T251" s="233" t="s">
        <v>617</v>
      </c>
      <c r="U251" s="233" t="s">
        <v>618</v>
      </c>
    </row>
    <row r="252" spans="20:21" x14ac:dyDescent="0.25">
      <c r="T252" s="233" t="s">
        <v>619</v>
      </c>
      <c r="U252" s="233" t="s">
        <v>620</v>
      </c>
    </row>
    <row r="253" spans="20:21" x14ac:dyDescent="0.25">
      <c r="T253" s="233" t="s">
        <v>621</v>
      </c>
      <c r="U253" s="233" t="s">
        <v>622</v>
      </c>
    </row>
    <row r="254" spans="20:21" x14ac:dyDescent="0.25">
      <c r="T254" s="233" t="s">
        <v>623</v>
      </c>
      <c r="U254" s="233" t="s">
        <v>624</v>
      </c>
    </row>
    <row r="255" spans="20:21" x14ac:dyDescent="0.25">
      <c r="T255" s="233" t="s">
        <v>625</v>
      </c>
      <c r="U255" s="233" t="s">
        <v>626</v>
      </c>
    </row>
    <row r="256" spans="20:21" x14ac:dyDescent="0.25">
      <c r="T256" s="233" t="s">
        <v>627</v>
      </c>
      <c r="U256" s="233" t="s">
        <v>628</v>
      </c>
    </row>
    <row r="257" spans="20:21" x14ac:dyDescent="0.25">
      <c r="T257" s="233" t="s">
        <v>629</v>
      </c>
      <c r="U257" s="233" t="s">
        <v>630</v>
      </c>
    </row>
  </sheetData>
  <sheetProtection algorithmName="SHA-512" hashValue="VEgXZfhZojZoLd4pcO3Eu8kGGx6vOkNy6Kt6SZVkWzfXUq8ovI15UAstK2iNs76GrckkJ9M6cymgdwg7FqLkqA==" saltValue="M2cEumtjSldT/btM53NmRw==" spinCount="100000" sheet="1" objects="1" scenarios="1"/>
  <conditionalFormatting sqref="B31">
    <cfRule type="endsWith" dxfId="138" priority="20" operator="endsWith" text="?">
      <formula>RIGHT(B31,LEN("?"))="?"</formula>
    </cfRule>
  </conditionalFormatting>
  <conditionalFormatting sqref="B31">
    <cfRule type="containsBlanks" dxfId="137" priority="21">
      <formula>LEN(TRIM(B31))=0</formula>
    </cfRule>
  </conditionalFormatting>
  <conditionalFormatting sqref="B31">
    <cfRule type="duplicateValues" dxfId="136" priority="22"/>
  </conditionalFormatting>
  <conditionalFormatting sqref="A19">
    <cfRule type="endsWith" dxfId="135" priority="18" operator="endsWith" text="?">
      <formula>RIGHT(A19,LEN("?"))="?"</formula>
    </cfRule>
  </conditionalFormatting>
  <conditionalFormatting sqref="A19">
    <cfRule type="containsBlanks" dxfId="134" priority="19">
      <formula>LEN(TRIM(A19))=0</formula>
    </cfRule>
  </conditionalFormatting>
  <conditionalFormatting sqref="A18">
    <cfRule type="endsWith" dxfId="133" priority="16" operator="endsWith" text="?">
      <formula>RIGHT(A18,LEN("?"))="?"</formula>
    </cfRule>
  </conditionalFormatting>
  <conditionalFormatting sqref="A18">
    <cfRule type="containsBlanks" dxfId="132" priority="17">
      <formula>LEN(TRIM(A18))=0</formula>
    </cfRule>
  </conditionalFormatting>
  <conditionalFormatting sqref="B18:B30">
    <cfRule type="endsWith" dxfId="131" priority="13" operator="endsWith" text="?">
      <formula>RIGHT(B18,LEN("?"))="?"</formula>
    </cfRule>
  </conditionalFormatting>
  <conditionalFormatting sqref="B18:B30">
    <cfRule type="containsBlanks" dxfId="130" priority="14">
      <formula>LEN(TRIM(B18))=0</formula>
    </cfRule>
  </conditionalFormatting>
  <conditionalFormatting sqref="B18:B30">
    <cfRule type="duplicateValues" dxfId="129" priority="15"/>
  </conditionalFormatting>
  <conditionalFormatting sqref="A12:A15">
    <cfRule type="endsWith" dxfId="128" priority="11" operator="endsWith" text="?">
      <formula>RIGHT(A12,LEN("?"))="?"</formula>
    </cfRule>
  </conditionalFormatting>
  <conditionalFormatting sqref="A12:A15">
    <cfRule type="containsBlanks" dxfId="127" priority="12">
      <formula>LEN(TRIM(A12))=0</formula>
    </cfRule>
  </conditionalFormatting>
  <conditionalFormatting sqref="B15">
    <cfRule type="duplicateValues" dxfId="126" priority="10"/>
  </conditionalFormatting>
  <conditionalFormatting sqref="B12">
    <cfRule type="endsWith" dxfId="125" priority="4" operator="endsWith" text="?">
      <formula>RIGHT(B12,LEN("?"))="?"</formula>
    </cfRule>
  </conditionalFormatting>
  <conditionalFormatting sqref="B12">
    <cfRule type="containsBlanks" dxfId="124" priority="5">
      <formula>LEN(TRIM(B12))=0</formula>
    </cfRule>
  </conditionalFormatting>
  <conditionalFormatting sqref="B14">
    <cfRule type="endsWith" dxfId="123" priority="7" operator="endsWith" text="?">
      <formula>RIGHT(B14,LEN("?"))="?"</formula>
    </cfRule>
  </conditionalFormatting>
  <conditionalFormatting sqref="B14">
    <cfRule type="containsBlanks" dxfId="122" priority="8">
      <formula>LEN(TRIM(B14))=0</formula>
    </cfRule>
  </conditionalFormatting>
  <conditionalFormatting sqref="B14">
    <cfRule type="duplicateValues" dxfId="121" priority="9"/>
  </conditionalFormatting>
  <conditionalFormatting sqref="B12">
    <cfRule type="duplicateValues" dxfId="120" priority="6"/>
  </conditionalFormatting>
  <conditionalFormatting sqref="B13">
    <cfRule type="endsWith" dxfId="119" priority="1" operator="endsWith" text="?">
      <formula>RIGHT(B13,LEN("?"))="?"</formula>
    </cfRule>
  </conditionalFormatting>
  <conditionalFormatting sqref="B13">
    <cfRule type="containsBlanks" dxfId="118" priority="2">
      <formula>LEN(TRIM(B13))=0</formula>
    </cfRule>
  </conditionalFormatting>
  <conditionalFormatting sqref="B13">
    <cfRule type="duplicateValues" dxfId="117" priority="3"/>
  </conditionalFormatting>
  <pageMargins left="0.7" right="0.7" top="0.75" bottom="0.75" header="0.3" footer="0.3"/>
  <pageSetup paperSize="9"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X12"/>
  <sheetViews>
    <sheetView showGridLines="0" zoomScale="85" zoomScaleNormal="85" workbookViewId="0"/>
  </sheetViews>
  <sheetFormatPr defaultColWidth="8.85546875" defaultRowHeight="15" x14ac:dyDescent="0.25"/>
  <cols>
    <col min="1" max="1" width="5" style="1" bestFit="1" customWidth="1"/>
    <col min="2" max="2" width="13.85546875" style="1" customWidth="1"/>
    <col min="3" max="3" width="16.140625" style="1" bestFit="1" customWidth="1"/>
    <col min="4" max="4" width="22.42578125" style="1" bestFit="1" customWidth="1"/>
    <col min="5" max="5" width="29.85546875" style="1" bestFit="1" customWidth="1"/>
    <col min="6" max="6" width="52" style="1" customWidth="1"/>
    <col min="7" max="7" width="22.140625" style="1" customWidth="1"/>
    <col min="8" max="8" width="8.42578125" style="1" bestFit="1" customWidth="1"/>
    <col min="9" max="9" width="17" style="1" customWidth="1"/>
    <col min="10" max="10" width="18.42578125" style="1" customWidth="1"/>
    <col min="11" max="11" width="8.7109375" style="1" bestFit="1" customWidth="1"/>
    <col min="12" max="12" width="24.42578125" style="1" bestFit="1" customWidth="1"/>
    <col min="13" max="15" width="15.42578125" style="1" bestFit="1" customWidth="1"/>
    <col min="16" max="16" width="13" style="1" customWidth="1"/>
    <col min="17" max="17" width="34.85546875" style="1" bestFit="1" customWidth="1"/>
    <col min="18" max="18" width="15.42578125" style="1" bestFit="1" customWidth="1"/>
    <col min="19" max="19" width="19.7109375" style="1" bestFit="1" customWidth="1"/>
    <col min="20" max="20" width="24.85546875" style="1" bestFit="1" customWidth="1"/>
    <col min="21" max="21" width="15.42578125" style="1" bestFit="1" customWidth="1"/>
    <col min="22" max="22" width="16" style="1" bestFit="1" customWidth="1"/>
    <col min="23" max="23" width="12.42578125" style="1" bestFit="1" customWidth="1"/>
    <col min="24" max="24" width="12" style="1" bestFit="1" customWidth="1"/>
    <col min="25" max="25" width="12.42578125" style="1" bestFit="1" customWidth="1"/>
    <col min="26" max="26" width="12" style="1" bestFit="1" customWidth="1"/>
    <col min="27" max="16384" width="8.85546875" style="1"/>
  </cols>
  <sheetData>
    <row r="1" spans="1:24" x14ac:dyDescent="0.25">
      <c r="A1" s="1" t="s">
        <v>667</v>
      </c>
      <c r="B1" s="1" t="s">
        <v>668</v>
      </c>
      <c r="C1" s="1" t="s">
        <v>669</v>
      </c>
      <c r="D1" s="1" t="s">
        <v>670</v>
      </c>
      <c r="E1" s="1" t="s">
        <v>671</v>
      </c>
      <c r="F1" s="1" t="s">
        <v>672</v>
      </c>
      <c r="G1" s="1" t="s">
        <v>673</v>
      </c>
      <c r="H1" s="1" t="s">
        <v>790</v>
      </c>
      <c r="I1" s="1" t="s">
        <v>674</v>
      </c>
      <c r="J1" s="1" t="s">
        <v>675</v>
      </c>
      <c r="K1" s="1" t="s">
        <v>791</v>
      </c>
      <c r="L1" s="1" t="s">
        <v>676</v>
      </c>
      <c r="M1" s="1" t="s">
        <v>677</v>
      </c>
      <c r="N1" s="1" t="s">
        <v>23</v>
      </c>
      <c r="O1" s="1" t="s">
        <v>678</v>
      </c>
      <c r="P1" s="1" t="s">
        <v>679</v>
      </c>
      <c r="Q1" s="1" t="s">
        <v>25</v>
      </c>
      <c r="R1" s="1" t="s">
        <v>680</v>
      </c>
      <c r="S1" s="1" t="s">
        <v>19</v>
      </c>
      <c r="T1" s="1" t="s">
        <v>792</v>
      </c>
      <c r="U1" s="1" t="s">
        <v>793</v>
      </c>
      <c r="V1" s="1" t="s">
        <v>794</v>
      </c>
      <c r="W1" s="1" t="s">
        <v>795</v>
      </c>
      <c r="X1" s="1" t="s">
        <v>796</v>
      </c>
    </row>
    <row r="2" spans="1:24" x14ac:dyDescent="0.25">
      <c r="A2" s="2">
        <v>1</v>
      </c>
      <c r="B2" s="2" t="s">
        <v>681</v>
      </c>
      <c r="C2" s="17" t="b">
        <v>1</v>
      </c>
      <c r="D2" s="2" t="s">
        <v>1</v>
      </c>
      <c r="E2" s="2" t="b">
        <v>1</v>
      </c>
      <c r="F2" s="2" t="str">
        <f>IFERROR(IF(Budget!$C$11="", "", LEFT(TRIM(Budget!$C$11), 500)), "")</f>
        <v/>
      </c>
      <c r="G2" s="2" t="str">
        <f>IFERROR(IF(Budget!$C$13="", "", LEFT(TRIM(Budget!$C$13), 500)), "")</f>
        <v/>
      </c>
      <c r="H2" s="2"/>
      <c r="I2" s="2" t="str">
        <f>IFERROR(IF(Budget!$C$15="", "", LEFT(TRIM(Budget!$C$15), 500)), "")</f>
        <v/>
      </c>
      <c r="J2" s="2" t="str">
        <f>IFERROR(IF(Budget!$C$16="", "", LEFT(TRIM(Budget!$C$16), 500)), "")</f>
        <v/>
      </c>
      <c r="K2" s="2"/>
      <c r="L2" s="2" t="str">
        <f>IFERROR(IF(Budget!$C$17="", "", LEFT(TRIM(Budget!$C$17), 500)), "")</f>
        <v/>
      </c>
      <c r="M2" s="2" t="str">
        <f>IFERROR(IF(Budget!$C$18="", "", LEFT(TRIM(Budget!$C$18), 500)), "")</f>
        <v/>
      </c>
      <c r="N2" s="2" t="str">
        <f>IFERROR(IF(Budget!$C$19="", "", LEFT(TRIM(Budget!$C$19), 500)), "")</f>
        <v/>
      </c>
      <c r="O2" s="2" t="str">
        <f>IFERROR(IF(Budget!$C$20="", "", LEFT(TRIM(Budget!$C$20), 500)), "")</f>
        <v/>
      </c>
      <c r="P2" s="18" t="str">
        <f>IFERROR(IF(Budget!$C$21="","",VLOOKUP(Budget!$C$21,LandeTabel[],2,FALSE)),"")</f>
        <v/>
      </c>
      <c r="Q2" s="18" t="str">
        <f>IFERROR(IF(Budget!$C$22="", "", LEFT(TRIM(Budget!$C$22), 500)), "")</f>
        <v/>
      </c>
      <c r="R2" s="242" t="str">
        <f>IFERROR(IF(Budget!$C$14="","",100*Budget!$C$14),"")</f>
        <v/>
      </c>
      <c r="S2" s="98" t="str">
        <f>IFERROR(IF(Budget!$C$12="","",VLOOKUP(Budget!$C$12,OrganisationstyperTabel[],2,FALSE)),"")</f>
        <v/>
      </c>
      <c r="T2" s="98"/>
      <c r="U2" s="98"/>
      <c r="V2" s="98"/>
      <c r="W2" s="98"/>
      <c r="X2" s="98"/>
    </row>
    <row r="3" spans="1:24" x14ac:dyDescent="0.25">
      <c r="A3" s="2">
        <v>2</v>
      </c>
      <c r="B3" s="2" t="s">
        <v>681</v>
      </c>
      <c r="C3" s="17" t="b">
        <v>1</v>
      </c>
      <c r="D3" s="2" t="s">
        <v>682</v>
      </c>
      <c r="E3" s="2" t="b">
        <v>0</v>
      </c>
      <c r="F3" s="2" t="str">
        <f>IFERROR(IF(Budget!$E$11="", "", LEFT(TRIM(Budget!$E$11), 500)), "")</f>
        <v/>
      </c>
      <c r="G3" s="2" t="str">
        <f>IFERROR(IF(Budget!$E$13="", "", LEFT(TRIM(Budget!$E$13), 500)), "")</f>
        <v/>
      </c>
      <c r="H3" s="2"/>
      <c r="I3" s="2" t="str">
        <f>IFERROR(IF(Budget!$E$15="", "", LEFT(TRIM(Budget!$E$15), 500)), "")</f>
        <v/>
      </c>
      <c r="J3" s="2" t="str">
        <f>IFERROR(IF(Budget!$E$16="", "", LEFT(TRIM(Budget!$E$16), 500)), "")</f>
        <v/>
      </c>
      <c r="K3" s="2"/>
      <c r="L3" s="2" t="str">
        <f>IFERROR(IF(Budget!$E$17="", "", LEFT(TRIM(Budget!$E$17), 500)), "")</f>
        <v/>
      </c>
      <c r="M3" s="2" t="str">
        <f>IFERROR(IF(Budget!$E$18="", "", LEFT(TRIM(Budget!$E$18), 500)), "")</f>
        <v/>
      </c>
      <c r="N3" s="2" t="str">
        <f>IFERROR(IF(Budget!$E$19="", "", LEFT(TRIM(Budget!$E$19), 500)), "")</f>
        <v/>
      </c>
      <c r="O3" s="2" t="str">
        <f>IFERROR(IF(Budget!$E$20="", "", LEFT(TRIM(Budget!$E$20), 500)), "")</f>
        <v/>
      </c>
      <c r="P3" s="18" t="str">
        <f>IFERROR(IF(Budget!$E$21="","",VLOOKUP(Budget!$E$21,LandeTabel[],2,FALSE)),"")</f>
        <v/>
      </c>
      <c r="Q3" s="18" t="str">
        <f>IFERROR(IF(Budget!$E$22="", "", LEFT(TRIM(Budget!$E$22), 500)), "")</f>
        <v/>
      </c>
      <c r="R3" s="242" t="str">
        <f>IFERROR(IF(Budget!$E$14="","",100*Budget!$E$14),"")</f>
        <v/>
      </c>
      <c r="S3" s="98" t="str">
        <f>IFERROR(IF(Budget!$E$12="","",VLOOKUP(Budget!$E$12,OrganisationstyperTabel[],2,FALSE)),"")</f>
        <v/>
      </c>
      <c r="T3" s="98"/>
      <c r="U3" s="98"/>
      <c r="V3" s="98"/>
      <c r="W3" s="98"/>
      <c r="X3" s="98"/>
    </row>
    <row r="4" spans="1:24" x14ac:dyDescent="0.25">
      <c r="A4" s="2">
        <v>3</v>
      </c>
      <c r="B4" s="2" t="s">
        <v>681</v>
      </c>
      <c r="C4" s="17" t="b">
        <v>1</v>
      </c>
      <c r="D4" s="2" t="s">
        <v>682</v>
      </c>
      <c r="E4" s="2" t="b">
        <v>0</v>
      </c>
      <c r="F4" s="2" t="str">
        <f>IFERROR(IF(Budget!$G$11="", "", LEFT(TRIM(Budget!$G$11), 500)), "")</f>
        <v/>
      </c>
      <c r="G4" s="2" t="str">
        <f>IFERROR(IF(Budget!$G$13="", "", LEFT(TRIM(Budget!$G$13), 500)), "")</f>
        <v/>
      </c>
      <c r="H4" s="2"/>
      <c r="I4" s="2" t="str">
        <f>IFERROR(IF(Budget!$G$15="", "", LEFT(TRIM(Budget!$G$15), 500)), "")</f>
        <v/>
      </c>
      <c r="J4" s="2" t="str">
        <f>IFERROR(IF(Budget!$G$16="", "", LEFT(TRIM(Budget!$G$16), 500)), "")</f>
        <v/>
      </c>
      <c r="K4" s="2"/>
      <c r="L4" s="2" t="str">
        <f>IFERROR(IF(Budget!$G$17="", "", LEFT(TRIM(Budget!$G$17), 500)), "")</f>
        <v/>
      </c>
      <c r="M4" s="2" t="str">
        <f>IFERROR(IF(Budget!$G$18="", "", LEFT(TRIM(Budget!$G$18), 500)), "")</f>
        <v/>
      </c>
      <c r="N4" s="2" t="str">
        <f>IFERROR(IF(Budget!$G$19="", "", LEFT(TRIM(Budget!$G$19), 500)), "")</f>
        <v/>
      </c>
      <c r="O4" s="2" t="str">
        <f>IFERROR(IF(Budget!$G$20="", "", LEFT(TRIM(Budget!$G$20), 500)), "")</f>
        <v/>
      </c>
      <c r="P4" s="18" t="str">
        <f>IFERROR(IF(Budget!$G$21="","",VLOOKUP(Budget!$G$21,LandeTabel[],2,FALSE)),"")</f>
        <v/>
      </c>
      <c r="Q4" s="18" t="str">
        <f>IFERROR(IF(Budget!$G$22="", "", LEFT(TRIM(Budget!$G$22), 500)), "")</f>
        <v/>
      </c>
      <c r="R4" s="242" t="str">
        <f>IFERROR(IF(Budget!$G$14="","",100*Budget!$G$14),"")</f>
        <v/>
      </c>
      <c r="S4" s="98" t="str">
        <f>IFERROR(IF(Budget!$G$12="","",VLOOKUP(Budget!$G$12,OrganisationstyperTabel[],2,FALSE)),"")</f>
        <v/>
      </c>
      <c r="T4" s="98"/>
      <c r="U4" s="98"/>
      <c r="V4" s="98"/>
      <c r="W4" s="98"/>
      <c r="X4" s="98"/>
    </row>
    <row r="5" spans="1:24" x14ac:dyDescent="0.25">
      <c r="A5" s="2">
        <v>4</v>
      </c>
      <c r="B5" s="2" t="s">
        <v>681</v>
      </c>
      <c r="C5" s="17" t="b">
        <v>1</v>
      </c>
      <c r="D5" s="2" t="s">
        <v>682</v>
      </c>
      <c r="E5" s="2" t="b">
        <v>0</v>
      </c>
      <c r="F5" s="2" t="str">
        <f>IFERROR(IF(Budget!$I$11="", "", LEFT(TRIM(Budget!$I$11), 500)), "")</f>
        <v/>
      </c>
      <c r="G5" s="2" t="str">
        <f>IFERROR(IF(Budget!$I$13="", "", LEFT(TRIM(Budget!$I$13), 500)), "")</f>
        <v/>
      </c>
      <c r="H5" s="2"/>
      <c r="I5" s="2" t="str">
        <f>IFERROR(IF(Budget!$I$15="", "", LEFT(TRIM(Budget!$I$15), 500)), "")</f>
        <v/>
      </c>
      <c r="J5" s="2" t="str">
        <f>IFERROR(IF(Budget!$I$16="", "", LEFT(TRIM(Budget!$I$16), 500)), "")</f>
        <v/>
      </c>
      <c r="K5" s="2"/>
      <c r="L5" s="2" t="str">
        <f>IFERROR(IF(Budget!$I$17="", "", LEFT(TRIM(Budget!$I$17), 500)), "")</f>
        <v/>
      </c>
      <c r="M5" s="2" t="str">
        <f>IFERROR(IF(Budget!$I$18="", "", LEFT(TRIM(Budget!$I$18), 500)), "")</f>
        <v/>
      </c>
      <c r="N5" s="2" t="str">
        <f>IFERROR(IF(Budget!$I$19="", "", LEFT(TRIM(Budget!$I$19), 500)), "")</f>
        <v/>
      </c>
      <c r="O5" s="2" t="str">
        <f>IFERROR(IF(Budget!$I$20="", "", LEFT(TRIM(Budget!$I$20), 500)), "")</f>
        <v/>
      </c>
      <c r="P5" s="18" t="str">
        <f>IFERROR(IF(Budget!$I$21="","",VLOOKUP(Budget!$I$21,LandeTabel[],2,FALSE)),"")</f>
        <v/>
      </c>
      <c r="Q5" s="18" t="str">
        <f>IFERROR(IF(Budget!$I$22="", "", LEFT(TRIM(Budget!$I$22), 500)), "")</f>
        <v/>
      </c>
      <c r="R5" s="242" t="str">
        <f>IFERROR(IF(Budget!$I$14="","",100*Budget!$I$14),"")</f>
        <v/>
      </c>
      <c r="S5" s="98" t="str">
        <f>IFERROR(IF(Budget!$I$12="","",VLOOKUP(Budget!$I$12,OrganisationstyperTabel[],2,FALSE)),"")</f>
        <v/>
      </c>
      <c r="T5" s="98"/>
      <c r="U5" s="98"/>
      <c r="V5" s="98"/>
      <c r="W5" s="98"/>
      <c r="X5" s="98"/>
    </row>
    <row r="6" spans="1:24" x14ac:dyDescent="0.25">
      <c r="A6" s="2">
        <v>5</v>
      </c>
      <c r="B6" s="2" t="s">
        <v>681</v>
      </c>
      <c r="C6" s="17" t="b">
        <v>1</v>
      </c>
      <c r="D6" s="2" t="s">
        <v>682</v>
      </c>
      <c r="E6" s="2" t="b">
        <v>0</v>
      </c>
      <c r="F6" s="2" t="str">
        <f>IFERROR(IF(Budget!$K$11="", "", LEFT(TRIM(Budget!$K$11), 500)), "")</f>
        <v/>
      </c>
      <c r="G6" s="2" t="str">
        <f>IFERROR(IF(Budget!$K$13="", "", LEFT(TRIM(Budget!$K$13), 500)), "")</f>
        <v/>
      </c>
      <c r="H6" s="2"/>
      <c r="I6" s="2" t="str">
        <f>IFERROR(IF(Budget!$K$15="", "", LEFT(TRIM(Budget!$K$15), 500)), "")</f>
        <v/>
      </c>
      <c r="J6" s="2" t="str">
        <f>IFERROR(IF(Budget!$K$16="", "", LEFT(TRIM(Budget!$K$16), 500)), "")</f>
        <v/>
      </c>
      <c r="K6" s="2"/>
      <c r="L6" s="2" t="str">
        <f>IFERROR(IF(Budget!$K$17="", "", LEFT(TRIM(Budget!$K$17), 500)), "")</f>
        <v/>
      </c>
      <c r="M6" s="2" t="str">
        <f>IFERROR(IF(Budget!$K$18="", "", LEFT(TRIM(Budget!$K$18), 500)), "")</f>
        <v/>
      </c>
      <c r="N6" s="2" t="str">
        <f>IFERROR(IF(Budget!$K$19="", "", LEFT(TRIM(Budget!$K$19), 500)), "")</f>
        <v/>
      </c>
      <c r="O6" s="2" t="str">
        <f>IFERROR(IF(Budget!$K$20="", "", LEFT(TRIM(Budget!$K$20), 500)), "")</f>
        <v/>
      </c>
      <c r="P6" s="18" t="str">
        <f>IFERROR(IF(Budget!$K$21="","",VLOOKUP(Budget!$K$21,LandeTabel[],2,FALSE)),"")</f>
        <v/>
      </c>
      <c r="Q6" s="18" t="str">
        <f>IFERROR(IF(Budget!$K$22="", "", LEFT(TRIM(Budget!$K$22), 500)), "")</f>
        <v/>
      </c>
      <c r="R6" s="242" t="str">
        <f>IFERROR(IF(Budget!$K$14="","",100*Budget!$K$14),"")</f>
        <v/>
      </c>
      <c r="S6" s="98" t="str">
        <f>IFERROR(IF(Budget!$K$12="","",VLOOKUP(Budget!$K$12,OrganisationstyperTabel[],2,FALSE)),"")</f>
        <v/>
      </c>
      <c r="T6" s="98"/>
      <c r="U6" s="98"/>
      <c r="V6" s="98"/>
      <c r="W6" s="98"/>
      <c r="X6" s="98"/>
    </row>
    <row r="7" spans="1:24" x14ac:dyDescent="0.25">
      <c r="A7" s="2">
        <v>6</v>
      </c>
      <c r="B7" s="2" t="s">
        <v>681</v>
      </c>
      <c r="C7" s="17" t="b">
        <v>1</v>
      </c>
      <c r="D7" s="2" t="s">
        <v>682</v>
      </c>
      <c r="E7" s="2" t="b">
        <v>0</v>
      </c>
      <c r="F7" s="2" t="str">
        <f>IFERROR(IF(Budget!$M$11="", "", LEFT(TRIM(Budget!$M$11), 500)), "")</f>
        <v/>
      </c>
      <c r="G7" s="2" t="str">
        <f>IFERROR(IF(Budget!$M$13="", "", LEFT(TRIM(Budget!$M$13), 500)), "")</f>
        <v/>
      </c>
      <c r="H7" s="2"/>
      <c r="I7" s="2" t="str">
        <f>IFERROR(IF(Budget!$M$15="", "", LEFT(TRIM(Budget!$M$15), 500)), "")</f>
        <v/>
      </c>
      <c r="J7" s="2" t="str">
        <f>IFERROR(IF(Budget!$M$16="", "", LEFT(TRIM(Budget!$M$16), 500)), "")</f>
        <v/>
      </c>
      <c r="K7" s="2"/>
      <c r="L7" s="2" t="str">
        <f>IFERROR(IF(Budget!$M$17="", "", LEFT(TRIM(Budget!$M$17), 500)), "")</f>
        <v/>
      </c>
      <c r="M7" s="2" t="str">
        <f>IFERROR(IF(Budget!$M$18="", "", LEFT(TRIM(Budget!$M$18), 500)), "")</f>
        <v/>
      </c>
      <c r="N7" s="2" t="str">
        <f>IFERROR(IF(Budget!$M$19="", "", LEFT(TRIM(Budget!$M$19), 500)), "")</f>
        <v/>
      </c>
      <c r="O7" s="2" t="str">
        <f>IFERROR(IF(Budget!$M$20="", "", LEFT(TRIM(Budget!$M$20), 500)), "")</f>
        <v/>
      </c>
      <c r="P7" s="18" t="str">
        <f>IFERROR(IF(Budget!$M$21="","",VLOOKUP(Budget!$M$21,LandeTabel[],2,FALSE)),"")</f>
        <v/>
      </c>
      <c r="Q7" s="18" t="str">
        <f>IFERROR(IF(Budget!$M$22="", "", LEFT(TRIM(Budget!$M$22), 500)), "")</f>
        <v/>
      </c>
      <c r="R7" s="242" t="str">
        <f>IFERROR(IF(Budget!$M$14="","",100*Budget!$M$14),"")</f>
        <v/>
      </c>
      <c r="S7" s="98" t="str">
        <f>IFERROR(IF(Budget!$M$12="","",VLOOKUP(Budget!$M$12,OrganisationstyperTabel[],2,FALSE)),"")</f>
        <v/>
      </c>
      <c r="T7" s="98"/>
      <c r="U7" s="98"/>
      <c r="V7" s="98"/>
      <c r="W7" s="98"/>
      <c r="X7" s="98"/>
    </row>
    <row r="8" spans="1:24" x14ac:dyDescent="0.25">
      <c r="A8" s="2">
        <v>7</v>
      </c>
      <c r="B8" s="2" t="s">
        <v>681</v>
      </c>
      <c r="C8" s="17" t="b">
        <v>1</v>
      </c>
      <c r="D8" s="2" t="s">
        <v>682</v>
      </c>
      <c r="E8" s="2" t="b">
        <v>0</v>
      </c>
      <c r="F8" s="2" t="str">
        <f>IFERROR(IF(Budget!$O$11="", "", LEFT(TRIM(Budget!$O$11), 500)), "")</f>
        <v/>
      </c>
      <c r="G8" s="2" t="str">
        <f>IFERROR(IF(Budget!$O$13="", "", LEFT(TRIM(Budget!$O$13), 500)), "")</f>
        <v/>
      </c>
      <c r="H8" s="2"/>
      <c r="I8" s="2" t="str">
        <f>IFERROR(IF(Budget!$O$15="", "", LEFT(TRIM(Budget!$O$15), 500)), "")</f>
        <v/>
      </c>
      <c r="J8" s="2" t="str">
        <f>IFERROR(IF(Budget!$O$16="", "", LEFT(TRIM(Budget!$O$16), 500)), "")</f>
        <v/>
      </c>
      <c r="K8" s="2"/>
      <c r="L8" s="2" t="str">
        <f>IFERROR(IF(Budget!$O$17="", "", LEFT(TRIM(Budget!$O$17), 500)), "")</f>
        <v/>
      </c>
      <c r="M8" s="2" t="str">
        <f>IFERROR(IF(Budget!$O$18="", "", LEFT(TRIM(Budget!$O$18), 500)), "")</f>
        <v/>
      </c>
      <c r="N8" s="2" t="str">
        <f>IFERROR(IF(Budget!$O$19="", "", LEFT(TRIM(Budget!$O$19), 500)), "")</f>
        <v/>
      </c>
      <c r="O8" s="2" t="str">
        <f>IFERROR(IF(Budget!$O$20="", "", LEFT(TRIM(Budget!$O$20), 500)), "")</f>
        <v/>
      </c>
      <c r="P8" s="18" t="str">
        <f>IFERROR(IF(Budget!$O$21="","",VLOOKUP(Budget!$O$21,LandeTabel[],2,FALSE)),"")</f>
        <v/>
      </c>
      <c r="Q8" s="18" t="str">
        <f>IFERROR(IF(Budget!$O$22="", "", LEFT(TRIM(Budget!$O$22), 500)), "")</f>
        <v/>
      </c>
      <c r="R8" s="242" t="str">
        <f>IFERROR(IF(Budget!$O$14="","",100*Budget!$O$14),"")</f>
        <v/>
      </c>
      <c r="S8" s="98" t="str">
        <f>IFERROR(IF(Budget!$O$12="","",VLOOKUP(Budget!$O$12,OrganisationstyperTabel[],2,FALSE)),"")</f>
        <v/>
      </c>
      <c r="T8" s="98"/>
      <c r="U8" s="98"/>
      <c r="V8" s="98"/>
      <c r="W8" s="98"/>
      <c r="X8" s="98"/>
    </row>
    <row r="9" spans="1:24" x14ac:dyDescent="0.25">
      <c r="A9" s="2">
        <v>8</v>
      </c>
      <c r="B9" s="2" t="s">
        <v>681</v>
      </c>
      <c r="C9" s="17" t="b">
        <v>1</v>
      </c>
      <c r="D9" s="2" t="s">
        <v>682</v>
      </c>
      <c r="E9" s="2" t="b">
        <v>0</v>
      </c>
      <c r="F9" s="2" t="str">
        <f>IFERROR(IF(Budget!$Q$11="", "", LEFT(TRIM(Budget!$Q$11), 500)), "")</f>
        <v/>
      </c>
      <c r="G9" s="2" t="str">
        <f>IFERROR(IF(Budget!$Q$13="", "", LEFT(TRIM(Budget!$Q$13), 500)), "")</f>
        <v/>
      </c>
      <c r="H9" s="2"/>
      <c r="I9" s="2" t="str">
        <f>IFERROR(IF(Budget!$Q$15="", "", LEFT(TRIM(Budget!$Q$15), 500)), "")</f>
        <v/>
      </c>
      <c r="J9" s="2" t="str">
        <f>IFERROR(IF(Budget!$Q$16="", "", LEFT(TRIM(Budget!$Q$16), 500)), "")</f>
        <v/>
      </c>
      <c r="K9" s="2"/>
      <c r="L9" s="2" t="str">
        <f>IFERROR(IF(Budget!$Q$17="", "", LEFT(TRIM(Budget!$Q$17), 500)), "")</f>
        <v/>
      </c>
      <c r="M9" s="2" t="str">
        <f>IFERROR(IF(Budget!$Q$18="", "", LEFT(TRIM(Budget!$Q$18), 500)), "")</f>
        <v/>
      </c>
      <c r="N9" s="2" t="str">
        <f>IFERROR(IF(Budget!$Q$19="", "", LEFT(TRIM(Budget!$Q$19), 500)), "")</f>
        <v/>
      </c>
      <c r="O9" s="2" t="str">
        <f>IFERROR(IF(Budget!$Q$20="", "", LEFT(TRIM(Budget!$Q$20), 500)), "")</f>
        <v/>
      </c>
      <c r="P9" s="18" t="str">
        <f>IFERROR(IF(Budget!$Q$21="","",VLOOKUP(Budget!$Q$21,LandeTabel[],2,FALSE)),"")</f>
        <v/>
      </c>
      <c r="Q9" s="18" t="str">
        <f>IFERROR(IF(Budget!$Q$22="", "", LEFT(TRIM(Budget!$Q$22), 500)), "")</f>
        <v/>
      </c>
      <c r="R9" s="242" t="str">
        <f>IFERROR(IF(Budget!$Q$14="","",100*Budget!$Q$14),"")</f>
        <v/>
      </c>
      <c r="S9" s="98" t="str">
        <f>IFERROR(IF(Budget!$Q$12="","",VLOOKUP(Budget!$Q$12,OrganisationstyperTabel[],2,FALSE)),"")</f>
        <v/>
      </c>
      <c r="T9" s="98"/>
      <c r="U9" s="98"/>
      <c r="V9" s="98"/>
      <c r="W9" s="98"/>
      <c r="X9" s="98"/>
    </row>
    <row r="10" spans="1:24" x14ac:dyDescent="0.25">
      <c r="A10" s="2">
        <v>9</v>
      </c>
      <c r="B10" s="2" t="s">
        <v>681</v>
      </c>
      <c r="C10" s="17" t="b">
        <v>1</v>
      </c>
      <c r="D10" s="2" t="s">
        <v>682</v>
      </c>
      <c r="E10" s="2" t="b">
        <v>0</v>
      </c>
      <c r="F10" s="2" t="str">
        <f>IFERROR(IF(Budget!$S$11="", "", LEFT(TRIM(Budget!$S$11), 500)), "")</f>
        <v/>
      </c>
      <c r="G10" s="2" t="str">
        <f>IFERROR(IF(Budget!$S$13="", "", LEFT(TRIM(Budget!$S$13), 500)), "")</f>
        <v/>
      </c>
      <c r="H10" s="2"/>
      <c r="I10" s="2" t="str">
        <f>IFERROR(IF(Budget!$S$15="", "", LEFT(TRIM(Budget!$S$15), 500)), "")</f>
        <v/>
      </c>
      <c r="J10" s="2" t="str">
        <f>IFERROR(IF(Budget!$S$16="", "", LEFT(TRIM(Budget!$S$16), 500)), "")</f>
        <v/>
      </c>
      <c r="K10" s="2"/>
      <c r="L10" s="2" t="str">
        <f>IFERROR(IF(Budget!$S$17="", "", LEFT(TRIM(Budget!$S$17), 500)), "")</f>
        <v/>
      </c>
      <c r="M10" s="2" t="str">
        <f>IFERROR(IF(Budget!$S$18="", "", LEFT(TRIM(Budget!$S$18), 500)), "")</f>
        <v/>
      </c>
      <c r="N10" s="2" t="str">
        <f>IFERROR(IF(Budget!$S$19="", "", LEFT(TRIM(Budget!$S$19), 500)), "")</f>
        <v/>
      </c>
      <c r="O10" s="2" t="str">
        <f>IFERROR(IF(Budget!$S$20="", "", LEFT(TRIM(Budget!$S$20), 500)), "")</f>
        <v/>
      </c>
      <c r="P10" s="18" t="str">
        <f>IFERROR(IF(Budget!$S$21="","",VLOOKUP(Budget!$S$21,LandeTabel[],2,FALSE)),"")</f>
        <v/>
      </c>
      <c r="Q10" s="18" t="str">
        <f>IFERROR(IF(Budget!$S$22="", "", LEFT(TRIM(Budget!$S$22), 500)), "")</f>
        <v/>
      </c>
      <c r="R10" s="242" t="str">
        <f>IFERROR(IF(Budget!$S$14="","",100*Budget!$S$14),"")</f>
        <v/>
      </c>
      <c r="S10" s="98" t="str">
        <f>IFERROR(IF(Budget!$S$12="","",VLOOKUP(Budget!$S$12,OrganisationstyperTabel[],2,FALSE)),"")</f>
        <v/>
      </c>
      <c r="T10" s="98"/>
      <c r="U10" s="98"/>
      <c r="V10" s="98"/>
      <c r="W10" s="98"/>
      <c r="X10" s="98"/>
    </row>
    <row r="11" spans="1:24" x14ac:dyDescent="0.25">
      <c r="A11" s="2">
        <v>10</v>
      </c>
      <c r="B11" s="2" t="s">
        <v>681</v>
      </c>
      <c r="C11" s="17" t="b">
        <v>1</v>
      </c>
      <c r="D11" s="2" t="s">
        <v>682</v>
      </c>
      <c r="E11" s="2" t="b">
        <v>0</v>
      </c>
      <c r="F11" s="2" t="str">
        <f>IFERROR(IF(Budget!$U$11="", "", LEFT(TRIM(Budget!$U$11), 500)), "")</f>
        <v/>
      </c>
      <c r="G11" s="2" t="str">
        <f>IFERROR(IF(Budget!$U$13="", "", LEFT(TRIM(Budget!$U$13), 500)), "")</f>
        <v/>
      </c>
      <c r="H11" s="2"/>
      <c r="I11" s="2" t="str">
        <f>IFERROR(IF(Budget!$U$15="", "", LEFT(TRIM(Budget!$U$15), 500)), "")</f>
        <v/>
      </c>
      <c r="J11" s="2" t="str">
        <f>IFERROR(IF(Budget!$U$16="", "", LEFT(TRIM(Budget!$U$16), 500)), "")</f>
        <v/>
      </c>
      <c r="K11" s="2"/>
      <c r="L11" s="2" t="str">
        <f>IFERROR(IF(Budget!$U$17="", "", LEFT(TRIM(Budget!$U$17), 500)), "")</f>
        <v/>
      </c>
      <c r="M11" s="2" t="str">
        <f>IFERROR(IF(Budget!$U$18="", "", LEFT(TRIM(Budget!$U$16), 500)), "")</f>
        <v/>
      </c>
      <c r="N11" s="2" t="str">
        <f>IFERROR(IF(Budget!$U$19="", "", LEFT(TRIM(Budget!$U$19), 500)), "")</f>
        <v/>
      </c>
      <c r="O11" s="2" t="str">
        <f>IFERROR(IF(Budget!$U$20="", "", LEFT(TRIM(Budget!$U$20), 500)), "")</f>
        <v/>
      </c>
      <c r="P11" s="18" t="str">
        <f>IFERROR(IF(Budget!$U$21="","",VLOOKUP(Budget!$U$21,LandeTabel[],2,FALSE)),"")</f>
        <v/>
      </c>
      <c r="Q11" s="18" t="str">
        <f>IFERROR(IF(Budget!$U$22="", "", LEFT(TRIM(Budget!$U$22), 500)), "")</f>
        <v/>
      </c>
      <c r="R11" s="242" t="str">
        <f>IFERROR(IF(Budget!$U$14="","",100*Budget!$U$14),"")</f>
        <v/>
      </c>
      <c r="S11" s="98" t="str">
        <f>IFERROR(IF(Budget!$U$12="","",VLOOKUP(Budget!$U$12,OrganisationstyperTabel[],2,FALSE)),"")</f>
        <v/>
      </c>
      <c r="T11" s="98"/>
      <c r="U11" s="98"/>
      <c r="V11" s="98"/>
      <c r="W11" s="98"/>
      <c r="X11" s="98"/>
    </row>
    <row r="12" spans="1:24" x14ac:dyDescent="0.25">
      <c r="A12" s="2">
        <v>11</v>
      </c>
      <c r="B12" s="2" t="s">
        <v>681</v>
      </c>
      <c r="C12" s="17" t="b">
        <v>1</v>
      </c>
      <c r="D12" s="2" t="s">
        <v>682</v>
      </c>
      <c r="E12" s="2" t="b">
        <v>0</v>
      </c>
      <c r="F12" s="2" t="str">
        <f>IFERROR(IF(Budget!$W$11="", "", LEFT(TRIM(Budget!$W$11), 500)), "")</f>
        <v/>
      </c>
      <c r="G12" s="2" t="str">
        <f>IFERROR(IF(Budget!$W$13="", "", LEFT(TRIM(Budget!$W$13), 500)), "")</f>
        <v/>
      </c>
      <c r="H12" s="2"/>
      <c r="I12" s="2" t="str">
        <f>IFERROR(IF(Budget!$W$15="", "", LEFT(TRIM(Budget!$W$15), 500)), "")</f>
        <v/>
      </c>
      <c r="J12" s="2" t="str">
        <f>IFERROR(IF(Budget!$W$16="", "", LEFT(TRIM(Budget!$W$16), 500)), "")</f>
        <v/>
      </c>
      <c r="K12" s="2"/>
      <c r="L12" s="2" t="str">
        <f>IFERROR(IF(Budget!$W$17="", "", LEFT(TRIM(Budget!$W$17), 500)), "")</f>
        <v/>
      </c>
      <c r="M12" s="2" t="str">
        <f>IFERROR(IF(Budget!$W$18="", "", LEFT(TRIM(Budget!$W$18), 500)), "")</f>
        <v/>
      </c>
      <c r="N12" s="2" t="str">
        <f>IFERROR(IF(Budget!$W$19="", "", LEFT(TRIM(Budget!$W$19), 500)), "")</f>
        <v/>
      </c>
      <c r="O12" s="2" t="str">
        <f>IFERROR(IF(Budget!$W$20="", "", LEFT(TRIM(Budget!$W$20), 500)), "")</f>
        <v/>
      </c>
      <c r="P12" s="18" t="str">
        <f>IFERROR(IF(Budget!$W$21="","",VLOOKUP(Budget!$W$21,LandeTabel[],2,FALSE)),"")</f>
        <v/>
      </c>
      <c r="Q12" s="18" t="str">
        <f>IFERROR(IF(Budget!$W$22="", "", LEFT(TRIM(Budget!$W$22), 500)), "")</f>
        <v/>
      </c>
      <c r="R12" s="242" t="str">
        <f>IFERROR(IF(Budget!$W$14="","",100*Budget!$W$14),"")</f>
        <v/>
      </c>
      <c r="S12" s="98" t="str">
        <f>IFERROR(IF(Budget!$W$12="","",VLOOKUP(Budget!$W$12,OrganisationstyperTabel[],2,FALSE)),"")</f>
        <v/>
      </c>
      <c r="T12" s="98"/>
      <c r="U12" s="98"/>
      <c r="V12" s="98"/>
      <c r="W12" s="98"/>
      <c r="X12" s="98"/>
    </row>
  </sheetData>
  <sheetProtection algorithmName="SHA-512" hashValue="QiXS0ckYOWRwHi49QO6xuUALGip1WZUfOlrVcuwpviQKs7rBxGMGVTKVssXbOZUkPOixvUTny/6PhacT1bgn+g==" saltValue="mhS7DS3LLIZRYFB9HSdX8Q==" spinCount="100000" sheet="1" objects="1" scenarios="1"/>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R412"/>
  <sheetViews>
    <sheetView showGridLines="0" showZeros="0" zoomScale="85" zoomScaleNormal="85" workbookViewId="0"/>
  </sheetViews>
  <sheetFormatPr defaultColWidth="9.140625" defaultRowHeight="15" x14ac:dyDescent="0.25"/>
  <cols>
    <col min="1" max="1" width="12.28515625" style="278" bestFit="1" customWidth="1"/>
    <col min="2" max="2" width="17.85546875" style="278" customWidth="1"/>
    <col min="3" max="3" width="26.85546875" style="278" bestFit="1" customWidth="1"/>
    <col min="4" max="4" width="22.140625" style="278" bestFit="1" customWidth="1"/>
    <col min="5" max="5" width="18.42578125" style="278" bestFit="1" customWidth="1"/>
    <col min="6" max="6" width="14.42578125" style="278" bestFit="1" customWidth="1"/>
    <col min="7" max="7" width="13.28515625" style="278" bestFit="1" customWidth="1"/>
    <col min="8" max="8" width="19" style="278" bestFit="1" customWidth="1"/>
    <col min="9" max="9" width="18.28515625" style="278" bestFit="1" customWidth="1"/>
    <col min="10" max="10" width="15.140625" style="278" bestFit="1" customWidth="1"/>
    <col min="11" max="11" width="15.7109375" style="278" bestFit="1" customWidth="1"/>
    <col min="12" max="12" width="20.7109375" style="278" bestFit="1" customWidth="1"/>
    <col min="13" max="13" width="17.42578125" style="278" bestFit="1" customWidth="1"/>
    <col min="14" max="14" width="11.85546875" style="278" customWidth="1"/>
    <col min="15" max="15" width="11.28515625" style="278" customWidth="1"/>
    <col min="16" max="16" width="13" style="278" bestFit="1" customWidth="1"/>
    <col min="17" max="20" width="9.140625" style="278"/>
    <col min="21" max="21" width="8.42578125" style="278" bestFit="1" customWidth="1"/>
    <col min="22" max="16384" width="9.140625" style="278"/>
  </cols>
  <sheetData>
    <row r="1" spans="1:16" x14ac:dyDescent="0.25">
      <c r="A1" s="276" t="s">
        <v>700</v>
      </c>
      <c r="B1" s="276" t="s">
        <v>701</v>
      </c>
      <c r="C1" s="276" t="s">
        <v>702</v>
      </c>
      <c r="D1" s="276" t="s">
        <v>703</v>
      </c>
      <c r="E1" s="276" t="s">
        <v>704</v>
      </c>
      <c r="F1" s="276" t="s">
        <v>705</v>
      </c>
      <c r="G1" s="276" t="s">
        <v>706</v>
      </c>
      <c r="H1" s="276" t="s">
        <v>707</v>
      </c>
      <c r="I1" s="276" t="s">
        <v>708</v>
      </c>
      <c r="J1" s="276" t="s">
        <v>709</v>
      </c>
      <c r="K1" s="276" t="s">
        <v>710</v>
      </c>
      <c r="L1" s="276" t="s">
        <v>797</v>
      </c>
      <c r="M1" s="276" t="s">
        <v>711</v>
      </c>
      <c r="N1" s="276" t="s">
        <v>712</v>
      </c>
      <c r="O1" s="276" t="s">
        <v>713</v>
      </c>
      <c r="P1" s="276" t="s">
        <v>714</v>
      </c>
    </row>
    <row r="2" spans="1:16" x14ac:dyDescent="0.25">
      <c r="A2" s="278" t="str">
        <f>IF(Budget!$C26="", "", INDEX(Partnere!$A$2:$A$12, MATCH(Budget!$C26, Partnere!$F$2:$F$12, 0)))</f>
        <v/>
      </c>
      <c r="B2" s="278" t="str">
        <f>IF(Budget!$H$26="", "", ROUND(Budget!$H$26,0))</f>
        <v/>
      </c>
      <c r="C2" s="278" t="s">
        <v>715</v>
      </c>
      <c r="D2" s="278" t="s">
        <v>58</v>
      </c>
      <c r="H2" s="277">
        <f>IF(ProjektStart &gt;  DATE(FirstYear, 12, 31),  DATE(FirstYear, 1, 1), MAX(ProjektStart,DATE(FirstYear, 1, 1)))</f>
        <v>44197</v>
      </c>
      <c r="I2" s="277">
        <f>IF(ProjektSlut &lt;  DATE(FirstYear, 1, 1),  DATE(FirstYear, 12, 31), MIN(ProjektSlut,DATE(FirstYear, 12, 31)))</f>
        <v>44561</v>
      </c>
      <c r="M2" s="278" t="b">
        <v>0</v>
      </c>
    </row>
    <row r="3" spans="1:16" x14ac:dyDescent="0.25">
      <c r="A3" s="278" t="str">
        <f>IF(Budget!$C26="", "", INDEX(Partnere!$A$2:$A$12, MATCH(Budget!$C26, Partnere!$F$2:$F$12, 0)))</f>
        <v/>
      </c>
      <c r="B3" s="278" t="str">
        <f>IF(Budget!$I$26="", "", ROUND(Budget!$I$26,0))</f>
        <v/>
      </c>
      <c r="C3" s="278" t="s">
        <v>715</v>
      </c>
      <c r="D3" s="278" t="s">
        <v>58</v>
      </c>
      <c r="H3" s="277">
        <f>IF(ProjektStart &gt;  DATE(FirstYear+1, 12, 31),  DATE(FirstYear+1, 1, 1), MAX(ProjektStart,DATE(FirstYear+1, 1, 1)))</f>
        <v>44562</v>
      </c>
      <c r="I3" s="277">
        <f>IF(ProjektSlut &lt;  DATE(FirstYear+1, 1, 1),  DATE(FirstYear+1, 12, 31), MIN(ProjektSlut,DATE(FirstYear+1, 12, 31)))</f>
        <v>44926</v>
      </c>
      <c r="M3" s="278" t="b">
        <v>0</v>
      </c>
    </row>
    <row r="4" spans="1:16" x14ac:dyDescent="0.25">
      <c r="A4" s="278" t="str">
        <f>IF(Budget!$C26="", "", INDEX(Partnere!$A$2:$A$12, MATCH(Budget!$C26, Partnere!$F$2:$F$12, 0)))</f>
        <v/>
      </c>
      <c r="B4" s="278" t="str">
        <f>IF(Budget!$J$26="", "", ROUND(Budget!$J$26,0))</f>
        <v/>
      </c>
      <c r="C4" s="278" t="s">
        <v>715</v>
      </c>
      <c r="D4" s="278" t="s">
        <v>58</v>
      </c>
      <c r="H4" s="277">
        <f>IF(ProjektStart &gt;  DATE(FirstYear+2, 12, 31),  DATE(FirstYear+2, 1, 1), MAX(ProjektStart,DATE(FirstYear+2, 1, 1)))</f>
        <v>44927</v>
      </c>
      <c r="I4" s="277">
        <f>IF(ProjektSlut &lt;  DATE(FirstYear+2, 1, 1),  DATE(FirstYear+2, 12, 31), MIN(ProjektSlut,DATE(FirstYear+2, 12, 31)))</f>
        <v>45291</v>
      </c>
      <c r="M4" s="278" t="b">
        <v>0</v>
      </c>
    </row>
    <row r="5" spans="1:16" x14ac:dyDescent="0.25">
      <c r="A5" s="278" t="str">
        <f>IF(Budget!$C26="", "", INDEX(Partnere!$A$2:$A$12, MATCH(Budget!$C26, Partnere!$F$2:$F$12, 0)))</f>
        <v/>
      </c>
      <c r="B5" s="278" t="str">
        <f>IF(Budget!$K$26="", "", ROUND(Budget!$K$26,0))</f>
        <v/>
      </c>
      <c r="C5" s="278" t="s">
        <v>715</v>
      </c>
      <c r="D5" s="278" t="s">
        <v>58</v>
      </c>
      <c r="H5" s="277">
        <f>IF(ProjektStart &gt;  DATE(FirstYear+3, 12, 31),  DATE(FirstYear+3, 1, 1), MAX(ProjektStart,DATE(FirstYear+3, 1, 1)))</f>
        <v>45292</v>
      </c>
      <c r="I5" s="277">
        <f>IF(ProjektSlut &lt;  DATE(FirstYear+3, 1, 1),  DATE(FirstYear+3, 12, 31), MIN(ProjektSlut,DATE(FirstYear+3, 12, 31)))</f>
        <v>45657</v>
      </c>
      <c r="M5" s="278" t="b">
        <v>0</v>
      </c>
    </row>
    <row r="6" spans="1:16" x14ac:dyDescent="0.25">
      <c r="A6" s="278" t="str">
        <f>IF(Budget!$C26="", "", INDEX(Partnere!$A$2:$A$12, MATCH(Budget!$C26, Partnere!$F$2:$F$12, 0)))</f>
        <v/>
      </c>
      <c r="B6" s="279" t="str">
        <f>IF(Budget!$L$26="", "", ROUND(Budget!$L$26,0))</f>
        <v/>
      </c>
      <c r="C6" s="278" t="s">
        <v>715</v>
      </c>
      <c r="D6" s="278" t="s">
        <v>58</v>
      </c>
      <c r="H6" s="277">
        <f>IF(ProjektStart &gt;  DATE(FirstYear+4, 12, 31),  DATE(FirstYear+4, 1, 1), MAX(ProjektStart,DATE(FirstYear+4, 1, 1)))</f>
        <v>45658</v>
      </c>
      <c r="I6" s="277">
        <f>IF(ProjektSlut &lt;  DATE(FirstYear+4, 1, 1),  DATE(FirstYear+4, 12, 31), MIN(ProjektSlut,DATE(FirstYear+4, 12, 31)))</f>
        <v>46022</v>
      </c>
      <c r="M6" s="278" t="b">
        <v>0</v>
      </c>
    </row>
    <row r="7" spans="1:16" x14ac:dyDescent="0.25">
      <c r="A7" s="278" t="str">
        <f>IF(Budget!$C26="", "", INDEX(Partnere!$A$2:$A$12, MATCH(Budget!$C26, Partnere!$F$2:$F$12, 0)))</f>
        <v/>
      </c>
      <c r="B7" s="279" t="str">
        <f>IF(Budget!$M$26="", "", ROUND(Budget!$M$26,0))</f>
        <v/>
      </c>
      <c r="C7" s="278" t="s">
        <v>715</v>
      </c>
      <c r="D7" s="278" t="s">
        <v>58</v>
      </c>
      <c r="H7" s="277">
        <f>IF(ProjektStart &gt;  DATE(FirstYear+5, 12, 31),  DATE(FirstYear+5, 1, 1), MAX(ProjektStart,DATE(FirstYear+5, 1, 1)))</f>
        <v>46023</v>
      </c>
      <c r="I7" s="277">
        <f>IF(ProjektSlut &lt;  DATE(FirstYear+5, 1, 1),  DATE(FirstYear+5, 12, 31), MIN(ProjektSlut,DATE(FirstYear+5, 12, 31)))</f>
        <v>46387</v>
      </c>
      <c r="M7" s="278" t="b">
        <v>0</v>
      </c>
    </row>
    <row r="8" spans="1:16" x14ac:dyDescent="0.25">
      <c r="A8" s="278" t="str">
        <f>IF(Budget!$C26="", "", INDEX(Partnere!$A$2:$A$12, MATCH(Budget!$C26, Partnere!$F$2:$F$12, 0)))</f>
        <v/>
      </c>
      <c r="B8" s="279" t="str">
        <f>IF(Budget!$N$26="", "", ROUND(Budget!$N$26,0))</f>
        <v/>
      </c>
      <c r="C8" s="278" t="s">
        <v>715</v>
      </c>
      <c r="D8" s="278" t="s">
        <v>58</v>
      </c>
      <c r="H8" s="277">
        <f>IF(ProjektStart &gt;  DATE(FirstYear+6, 12, 31),  DATE(FirstYear+6, 1, 1), MAX(ProjektStart,DATE(FirstYear+6, 1, 1)))</f>
        <v>46388</v>
      </c>
      <c r="I8" s="277">
        <f>IF(ProjektSlut &lt;  DATE(FirstYear+6, 1, 1),  DATE(FirstYear+6, 12, 31), MIN(ProjektSlut,DATE(FirstYear+6, 12, 31)))</f>
        <v>46752</v>
      </c>
      <c r="M8" s="278" t="b">
        <v>0</v>
      </c>
    </row>
    <row r="9" spans="1:16" x14ac:dyDescent="0.25">
      <c r="A9" s="278" t="str">
        <f>IF(Budget!$C26="", "", INDEX(Partnere!$A$2:$A$12, MATCH(Budget!$C26, Partnere!$F$2:$F$12, 0)))</f>
        <v/>
      </c>
      <c r="B9" s="279" t="str">
        <f>IF(Budget!$O$26="", "", ROUND(Budget!$O$26,0))</f>
        <v/>
      </c>
      <c r="C9" s="278" t="s">
        <v>715</v>
      </c>
      <c r="D9" s="278" t="s">
        <v>58</v>
      </c>
      <c r="H9" s="277">
        <f>IF(ProjektStart &gt;  DATE(FirstYear+7, 12, 31),  DATE(FirstYear+7, 1, 1), MAX(ProjektStart,DATE(FirstYear+7, 1, 1)))</f>
        <v>46753</v>
      </c>
      <c r="I9" s="277">
        <f>IF(ProjektSlut &lt;  DATE(FirstYear+7, 1, 1),  DATE(FirstYear+7, 12, 31), MIN(ProjektSlut,DATE(FirstYear+7, 12, 31)))</f>
        <v>47118</v>
      </c>
      <c r="M9" s="278" t="b">
        <v>0</v>
      </c>
    </row>
    <row r="10" spans="1:16" x14ac:dyDescent="0.25">
      <c r="A10" s="278" t="str">
        <f>IF(Budget!$C26="", "", INDEX(Partnere!$A$2:$A$12, MATCH(Budget!$C26, Partnere!$F$2:$F$12, 0)))</f>
        <v/>
      </c>
      <c r="B10" s="279" t="str">
        <f>IF(Budget!$P$26="", "", ROUND(Budget!$P$26,0))</f>
        <v/>
      </c>
      <c r="C10" s="278" t="s">
        <v>715</v>
      </c>
      <c r="D10" s="278" t="s">
        <v>58</v>
      </c>
      <c r="H10" s="277">
        <f>IF(ProjektStart &gt;  DATE(FirstYear+8, 12, 31),  DATE(FirstYear+8, 1, 1), MAX(ProjektStart,DATE(FirstYear+8, 1, 1)))</f>
        <v>47119</v>
      </c>
      <c r="I10" s="277">
        <f>IF(ProjektSlut &lt;  DATE(FirstYear+8, 1, 1),  DATE(FirstYear+8, 12, 31), MIN(ProjektSlut,DATE(FirstYear+8, 12, 31)))</f>
        <v>47483</v>
      </c>
      <c r="M10" s="278" t="b">
        <v>0</v>
      </c>
    </row>
    <row r="11" spans="1:16" x14ac:dyDescent="0.25">
      <c r="A11" s="278" t="str">
        <f>IF(Budget!$C$27="", "", INDEX(Partnere!$A$2:$A$12, MATCH(Budget!$C$27, Partnere!$F$2:$F$12, 0)))</f>
        <v/>
      </c>
      <c r="B11" s="278" t="str">
        <f>IF(Budget!$H$27="", "", ROUND(Budget!$H$27,0))</f>
        <v/>
      </c>
      <c r="C11" s="278" t="s">
        <v>715</v>
      </c>
      <c r="D11" s="278" t="str">
        <f>IF(Budget!$A$27="","",VLOOKUP(Budget!$A$27,OmkostningsParticipantsTabel[#Data],2,FALSE))</f>
        <v/>
      </c>
      <c r="H11" s="277">
        <f>IF(ProjektStart &gt;  DATE(FirstYear, 12, 31),  DATE(FirstYear, 1, 1), MAX(ProjektStart,DATE(FirstYear, 1, 1)))</f>
        <v>44197</v>
      </c>
      <c r="I11" s="277">
        <f>IF(ProjektSlut &lt;  DATE(FirstYear, 1, 1),  DATE(FirstYear, 12, 31), MIN(ProjektSlut,DATE(FirstYear, 12, 31)))</f>
        <v>44561</v>
      </c>
      <c r="M11" s="278" t="b">
        <v>0</v>
      </c>
    </row>
    <row r="12" spans="1:16" x14ac:dyDescent="0.25">
      <c r="A12" s="278" t="str">
        <f>IF(Budget!$C$27="", "", INDEX(Partnere!$A$2:$A$12, MATCH(Budget!$C$27, Partnere!$F$2:$F$12, 0)))</f>
        <v/>
      </c>
      <c r="B12" s="278" t="str">
        <f>IF(Budget!$I$27="", "", ROUND(Budget!$I$27,0))</f>
        <v/>
      </c>
      <c r="C12" s="278" t="s">
        <v>715</v>
      </c>
      <c r="D12" s="278" t="str">
        <f>IF(Budget!$A$27="","",VLOOKUP(Budget!$A$27,OmkostningsParticipantsTabel[#Data],2,FALSE))</f>
        <v/>
      </c>
      <c r="H12" s="277">
        <f>IF(ProjektStart &gt;  DATE(FirstYear+1, 12, 31),  DATE(FirstYear+1, 1, 1), MAX(ProjektStart,DATE(FirstYear+1, 1, 1)))</f>
        <v>44562</v>
      </c>
      <c r="I12" s="277">
        <f>IF(ProjektSlut &lt;  DATE(FirstYear+1, 1, 1),  DATE(FirstYear+1, 12, 31), MIN(ProjektSlut,DATE(FirstYear+1, 12, 31)))</f>
        <v>44926</v>
      </c>
      <c r="M12" s="278" t="b">
        <v>0</v>
      </c>
    </row>
    <row r="13" spans="1:16" x14ac:dyDescent="0.25">
      <c r="A13" s="278" t="str">
        <f>IF(Budget!$C$27="", "", INDEX(Partnere!$A$2:$A$12, MATCH(Budget!$C$27, Partnere!$F$2:$F$12, 0)))</f>
        <v/>
      </c>
      <c r="B13" s="278" t="str">
        <f>IF(Budget!$J$27="", "", ROUND(Budget!$J$27,0))</f>
        <v/>
      </c>
      <c r="C13" s="278" t="s">
        <v>715</v>
      </c>
      <c r="D13" s="278" t="str">
        <f>IF(Budget!$A$27="","",VLOOKUP(Budget!$A$27,OmkostningsParticipantsTabel[#Data],2,FALSE))</f>
        <v/>
      </c>
      <c r="H13" s="277">
        <f>IF(ProjektStart &gt;  DATE(FirstYear+2, 12, 31),  DATE(FirstYear+2, 1, 1), MAX(ProjektStart,DATE(FirstYear+2, 1, 1)))</f>
        <v>44927</v>
      </c>
      <c r="I13" s="277">
        <f>IF(ProjektSlut &lt;  DATE(FirstYear+2, 1, 1),  DATE(FirstYear+2, 12, 31), MIN(ProjektSlut,DATE(FirstYear+2, 12, 31)))</f>
        <v>45291</v>
      </c>
      <c r="M13" s="278" t="b">
        <v>0</v>
      </c>
    </row>
    <row r="14" spans="1:16" x14ac:dyDescent="0.25">
      <c r="A14" s="278" t="str">
        <f>IF(Budget!$C$27="", "", INDEX(Partnere!$A$2:$A$12, MATCH(Budget!$C$27, Partnere!$F$2:$F$12, 0)))</f>
        <v/>
      </c>
      <c r="B14" s="278" t="str">
        <f>IF(Budget!$K$27="", "", ROUND(Budget!$K$27,0))</f>
        <v/>
      </c>
      <c r="C14" s="278" t="s">
        <v>715</v>
      </c>
      <c r="D14" s="278" t="str">
        <f>IF(Budget!$A$27="","",VLOOKUP(Budget!$A$27,OmkostningsParticipantsTabel[#Data],2,FALSE))</f>
        <v/>
      </c>
      <c r="H14" s="277">
        <f>IF(ProjektStart &gt;  DATE(FirstYear+3, 12, 31),  DATE(FirstYear+3, 1, 1), MAX(ProjektStart,DATE(FirstYear+3, 1, 1)))</f>
        <v>45292</v>
      </c>
      <c r="I14" s="277">
        <f>IF(ProjektSlut &lt;  DATE(FirstYear+3, 1, 1),  DATE(FirstYear+3, 12, 31), MIN(ProjektSlut,DATE(FirstYear+3, 12, 31)))</f>
        <v>45657</v>
      </c>
      <c r="M14" s="278" t="b">
        <v>0</v>
      </c>
    </row>
    <row r="15" spans="1:16" x14ac:dyDescent="0.25">
      <c r="A15" s="278" t="str">
        <f>IF(Budget!$C$27="", "", INDEX(Partnere!$A$2:$A$12, MATCH(Budget!$C$27, Partnere!$F$2:$F$12, 0)))</f>
        <v/>
      </c>
      <c r="B15" s="278" t="str">
        <f>IF(Budget!$L$27="", "", ROUND(Budget!$L$27,0))</f>
        <v/>
      </c>
      <c r="C15" s="278" t="s">
        <v>715</v>
      </c>
      <c r="D15" s="278" t="str">
        <f>IF(Budget!$A$27="","",VLOOKUP(Budget!$A$27,OmkostningsParticipantsTabel[#Data],2,FALSE))</f>
        <v/>
      </c>
      <c r="H15" s="277">
        <f>IF(ProjektStart &gt;  DATE(FirstYear+4, 12, 31),  DATE(FirstYear+4, 1, 1), MAX(ProjektStart,DATE(FirstYear+4, 1, 1)))</f>
        <v>45658</v>
      </c>
      <c r="I15" s="277">
        <f>IF(ProjektSlut &lt;  DATE(FirstYear+4, 1, 1),  DATE(FirstYear+4, 12, 31), MIN(ProjektSlut,DATE(FirstYear+4, 12, 31)))</f>
        <v>46022</v>
      </c>
      <c r="M15" s="278" t="b">
        <v>0</v>
      </c>
    </row>
    <row r="16" spans="1:16" x14ac:dyDescent="0.25">
      <c r="A16" s="278" t="str">
        <f>IF(Budget!$C$27="", "", INDEX(Partnere!$A$2:$A$12, MATCH(Budget!$C$27, Partnere!$F$2:$F$12, 0)))</f>
        <v/>
      </c>
      <c r="B16" s="278" t="str">
        <f>IF(Budget!$M$27="", "", ROUND(Budget!$M$27,0))</f>
        <v/>
      </c>
      <c r="C16" s="278" t="s">
        <v>715</v>
      </c>
      <c r="D16" s="278" t="str">
        <f>IF(Budget!$A$27="","",VLOOKUP(Budget!$A$27,OmkostningsParticipantsTabel[#Data],2,FALSE))</f>
        <v/>
      </c>
      <c r="H16" s="277">
        <f>IF(ProjektStart &gt;  DATE(FirstYear+5, 12, 31),  DATE(FirstYear+5, 1, 1), MAX(ProjektStart,DATE(FirstYear+5, 1, 1)))</f>
        <v>46023</v>
      </c>
      <c r="I16" s="277">
        <f>IF(ProjektSlut &lt;  DATE(FirstYear+5, 1, 1),  DATE(FirstYear+5, 12, 31), MIN(ProjektSlut,DATE(FirstYear+5, 12, 31)))</f>
        <v>46387</v>
      </c>
      <c r="M16" s="278" t="b">
        <v>0</v>
      </c>
    </row>
    <row r="17" spans="1:13" x14ac:dyDescent="0.25">
      <c r="A17" s="278" t="str">
        <f>IF(Budget!$C$27="", "", INDEX(Partnere!$A$2:$A$12, MATCH(Budget!$C$27, Partnere!$F$2:$F$12, 0)))</f>
        <v/>
      </c>
      <c r="B17" s="279" t="str">
        <f>IF(Budget!$N$27="", "", ROUND(Budget!$N$27,0))</f>
        <v/>
      </c>
      <c r="C17" s="278" t="s">
        <v>715</v>
      </c>
      <c r="D17" s="278" t="str">
        <f>IF(Budget!$A$27="","",VLOOKUP(Budget!$A$27,OmkostningsParticipantsTabel[#Data],2,FALSE))</f>
        <v/>
      </c>
      <c r="H17" s="277">
        <f>IF(ProjektStart &gt;  DATE(FirstYear+6, 12, 31),  DATE(FirstYear+6, 1, 1), MAX(ProjektStart,DATE(FirstYear+6, 1, 1)))</f>
        <v>46388</v>
      </c>
      <c r="I17" s="277">
        <f>IF(ProjektSlut &lt;  DATE(FirstYear+6, 1, 1),  DATE(FirstYear+6, 12, 31), MIN(ProjektSlut,DATE(FirstYear+6, 12, 31)))</f>
        <v>46752</v>
      </c>
      <c r="M17" s="278" t="b">
        <v>0</v>
      </c>
    </row>
    <row r="18" spans="1:13" x14ac:dyDescent="0.25">
      <c r="A18" s="278" t="str">
        <f>IF(Budget!$C$27="", "", INDEX(Partnere!$A$2:$A$12, MATCH(Budget!$C$27, Partnere!$F$2:$F$12, 0)))</f>
        <v/>
      </c>
      <c r="B18" s="279" t="str">
        <f>IF(Budget!$O$27="", "", ROUND(Budget!$O$27,0))</f>
        <v/>
      </c>
      <c r="C18" s="278" t="s">
        <v>715</v>
      </c>
      <c r="D18" s="278" t="str">
        <f>IF(Budget!$A$27="","",VLOOKUP(Budget!$A$27,OmkostningsParticipantsTabel[#Data],2,FALSE))</f>
        <v/>
      </c>
      <c r="H18" s="277">
        <f>IF(ProjektStart &gt;  DATE(FirstYear+7, 12, 31),  DATE(FirstYear+7, 1, 1), MAX(ProjektStart,DATE(FirstYear+7, 1, 1)))</f>
        <v>46753</v>
      </c>
      <c r="I18" s="277">
        <f>IF(ProjektSlut &lt;  DATE(FirstYear+7, 1, 1),  DATE(FirstYear+7, 12, 31), MIN(ProjektSlut,DATE(FirstYear+7, 12, 31)))</f>
        <v>47118</v>
      </c>
      <c r="M18" s="278" t="b">
        <v>0</v>
      </c>
    </row>
    <row r="19" spans="1:13" x14ac:dyDescent="0.25">
      <c r="A19" s="278" t="str">
        <f>IF(Budget!$C$27="", "", INDEX(Partnere!$A$2:$A$12, MATCH(Budget!$C$27, Partnere!$F$2:$F$12, 0)))</f>
        <v/>
      </c>
      <c r="B19" s="279" t="str">
        <f>IF(Budget!$P$27="", "", ROUND(Budget!$P$27,0))</f>
        <v/>
      </c>
      <c r="C19" s="278" t="s">
        <v>715</v>
      </c>
      <c r="D19" s="278" t="str">
        <f>IF(Budget!$A$27="","",VLOOKUP(Budget!$A$27,OmkostningsParticipantsTabel[#Data],2,FALSE))</f>
        <v/>
      </c>
      <c r="H19" s="277">
        <f>IF(ProjektStart &gt;  DATE(FirstYear+8, 12, 31),  DATE(FirstYear+8, 1, 1), MAX(ProjektStart,DATE(FirstYear+8, 1, 1)))</f>
        <v>47119</v>
      </c>
      <c r="I19" s="277">
        <f>IF(ProjektSlut &lt;  DATE(FirstYear+8, 1, 1),  DATE(FirstYear+8, 12, 31), MIN(ProjektSlut,DATE(FirstYear+8, 12, 31)))</f>
        <v>47483</v>
      </c>
      <c r="M19" s="278" t="b">
        <v>0</v>
      </c>
    </row>
    <row r="20" spans="1:13" x14ac:dyDescent="0.25">
      <c r="A20" s="278" t="str">
        <f>IF(Budget!$C$28="", "", INDEX(Partnere!$A$2:$A$12, MATCH(Budget!$C$28, Partnere!$F$2:$F$12, 0)))</f>
        <v/>
      </c>
      <c r="B20" s="278" t="str">
        <f>IF(Budget!$H$28="", "", ROUND(Budget!$H$28,0))</f>
        <v/>
      </c>
      <c r="C20" s="278" t="s">
        <v>715</v>
      </c>
      <c r="D20" s="278" t="str">
        <f>IF(Budget!$A$28="","",VLOOKUP(Budget!$A$28,OmkostningsParticipantsTabel[#Data],2,FALSE))</f>
        <v/>
      </c>
      <c r="H20" s="277">
        <f>IF(ProjektStart &gt;  DATE(FirstYear, 12, 31),  DATE(FirstYear, 1, 1), MAX(ProjektStart,DATE(FirstYear, 1, 1)))</f>
        <v>44197</v>
      </c>
      <c r="I20" s="277">
        <f>IF(ProjektSlut &lt;  DATE(FirstYear, 1, 1),  DATE(FirstYear, 12, 31), MIN(ProjektSlut,DATE(FirstYear, 12, 31)))</f>
        <v>44561</v>
      </c>
      <c r="M20" s="278" t="b">
        <v>0</v>
      </c>
    </row>
    <row r="21" spans="1:13" x14ac:dyDescent="0.25">
      <c r="A21" s="278" t="str">
        <f>IF(Budget!$C$28="", "", INDEX(Partnere!$A$2:$A$12, MATCH(Budget!$C$28, Partnere!$F$2:$F$12, 0)))</f>
        <v/>
      </c>
      <c r="B21" s="278" t="str">
        <f>IF(Budget!$I$28="", "", ROUND(Budget!$I$28,0))</f>
        <v/>
      </c>
      <c r="C21" s="278" t="s">
        <v>715</v>
      </c>
      <c r="D21" s="278" t="str">
        <f>IF(Budget!$A$28="","",VLOOKUP(Budget!$A$28,OmkostningsParticipantsTabel[#Data],2,FALSE))</f>
        <v/>
      </c>
      <c r="H21" s="277">
        <f>IF(ProjektStart &gt;  DATE(FirstYear+1, 12, 31),  DATE(FirstYear+1, 1, 1), MAX(ProjektStart,DATE(FirstYear+1, 1, 1)))</f>
        <v>44562</v>
      </c>
      <c r="I21" s="277">
        <f>IF(ProjektSlut &lt;  DATE(FirstYear+1, 1, 1),  DATE(FirstYear+1, 12, 31), MIN(ProjektSlut,DATE(FirstYear+1, 12, 31)))</f>
        <v>44926</v>
      </c>
      <c r="M21" s="278" t="b">
        <v>0</v>
      </c>
    </row>
    <row r="22" spans="1:13" x14ac:dyDescent="0.25">
      <c r="A22" s="278" t="str">
        <f>IF(Budget!$C$28="", "", INDEX(Partnere!$A$2:$A$12, MATCH(Budget!$C$28, Partnere!$F$2:$F$12, 0)))</f>
        <v/>
      </c>
      <c r="B22" s="278" t="str">
        <f>IF(Budget!$J$28="", "", ROUND(Budget!$J$28,0))</f>
        <v/>
      </c>
      <c r="C22" s="278" t="s">
        <v>715</v>
      </c>
      <c r="D22" s="278" t="str">
        <f>IF(Budget!$A$28="","",VLOOKUP(Budget!$A$28,OmkostningsParticipantsTabel[#Data],2,FALSE))</f>
        <v/>
      </c>
      <c r="H22" s="277">
        <f>IF(ProjektStart &gt;  DATE(FirstYear+2, 12, 31),  DATE(FirstYear+2, 1, 1), MAX(ProjektStart,DATE(FirstYear+2, 1, 1)))</f>
        <v>44927</v>
      </c>
      <c r="I22" s="277">
        <f>IF(ProjektSlut &lt;  DATE(FirstYear+2, 1, 1),  DATE(FirstYear+2, 12, 31), MIN(ProjektSlut,DATE(FirstYear+2, 12, 31)))</f>
        <v>45291</v>
      </c>
      <c r="M22" s="278" t="b">
        <v>0</v>
      </c>
    </row>
    <row r="23" spans="1:13" x14ac:dyDescent="0.25">
      <c r="A23" s="278" t="str">
        <f>IF(Budget!$C$28="", "", INDEX(Partnere!$A$2:$A$12, MATCH(Budget!$C$28, Partnere!$F$2:$F$12, 0)))</f>
        <v/>
      </c>
      <c r="B23" s="278" t="str">
        <f>IF(Budget!$K$28="", "", ROUND(Budget!$K$28,0))</f>
        <v/>
      </c>
      <c r="C23" s="278" t="s">
        <v>715</v>
      </c>
      <c r="D23" s="278" t="str">
        <f>IF(Budget!$A$28="","",VLOOKUP(Budget!$A$28,OmkostningsParticipantsTabel[#Data],2,FALSE))</f>
        <v/>
      </c>
      <c r="H23" s="277">
        <f>IF(ProjektStart &gt;  DATE(FirstYear+3, 12, 31),  DATE(FirstYear+3, 1, 1), MAX(ProjektStart,DATE(FirstYear+3, 1, 1)))</f>
        <v>45292</v>
      </c>
      <c r="I23" s="277">
        <f>IF(ProjektSlut &lt;  DATE(FirstYear+3, 1, 1),  DATE(FirstYear+3, 12, 31), MIN(ProjektSlut,DATE(FirstYear+3, 12, 31)))</f>
        <v>45657</v>
      </c>
      <c r="M23" s="278" t="b">
        <v>0</v>
      </c>
    </row>
    <row r="24" spans="1:13" x14ac:dyDescent="0.25">
      <c r="A24" s="278" t="str">
        <f>IF(Budget!$C$28="", "", INDEX(Partnere!$A$2:$A$12, MATCH(Budget!$C$28, Partnere!$F$2:$F$12, 0)))</f>
        <v/>
      </c>
      <c r="B24" s="278" t="str">
        <f>IF(Budget!$L$28="", "", ROUND(Budget!$L$28,0))</f>
        <v/>
      </c>
      <c r="C24" s="278" t="s">
        <v>715</v>
      </c>
      <c r="D24" s="278" t="str">
        <f>IF(Budget!$A$28="","",VLOOKUP(Budget!$A$28,OmkostningsParticipantsTabel[#Data],2,FALSE))</f>
        <v/>
      </c>
      <c r="H24" s="277">
        <f>IF(ProjektStart &gt;  DATE(FirstYear+4, 12, 31),  DATE(FirstYear+4, 1, 1), MAX(ProjektStart,DATE(FirstYear+4, 1, 1)))</f>
        <v>45658</v>
      </c>
      <c r="I24" s="277">
        <f>IF(ProjektSlut &lt;  DATE(FirstYear+4, 1, 1),  DATE(FirstYear+4, 12, 31), MIN(ProjektSlut,DATE(FirstYear+4, 12, 31)))</f>
        <v>46022</v>
      </c>
      <c r="M24" s="278" t="b">
        <v>0</v>
      </c>
    </row>
    <row r="25" spans="1:13" x14ac:dyDescent="0.25">
      <c r="A25" s="278" t="str">
        <f>IF(Budget!$C$28="", "", INDEX(Partnere!$A$2:$A$12, MATCH(Budget!$C$28, Partnere!$F$2:$F$12, 0)))</f>
        <v/>
      </c>
      <c r="B25" s="278" t="str">
        <f>IF(Budget!$M$28="", "", ROUND(Budget!$M$28,0))</f>
        <v/>
      </c>
      <c r="C25" s="278" t="s">
        <v>715</v>
      </c>
      <c r="D25" s="278" t="str">
        <f>IF(Budget!$A$28="","",VLOOKUP(Budget!$A$28,OmkostningsParticipantsTabel[#Data],2,FALSE))</f>
        <v/>
      </c>
      <c r="H25" s="277">
        <f>IF(ProjektStart &gt;  DATE(FirstYear+5, 12, 31),  DATE(FirstYear+5, 1, 1), MAX(ProjektStart,DATE(FirstYear+5, 1, 1)))</f>
        <v>46023</v>
      </c>
      <c r="I25" s="277">
        <f>IF(ProjektSlut &lt;  DATE(FirstYear+5, 1, 1),  DATE(FirstYear+5, 12, 31), MIN(ProjektSlut,DATE(FirstYear+5, 12, 31)))</f>
        <v>46387</v>
      </c>
      <c r="M25" s="278" t="b">
        <v>0</v>
      </c>
    </row>
    <row r="26" spans="1:13" x14ac:dyDescent="0.25">
      <c r="A26" s="278" t="str">
        <f>IF(Budget!$C$28="", "", INDEX(Partnere!$A$2:$A$12, MATCH(Budget!$C$28, Partnere!$F$2:$F$12, 0)))</f>
        <v/>
      </c>
      <c r="B26" s="279" t="str">
        <f>IF(Budget!$N$28="", "", ROUND(Budget!$N$28,0))</f>
        <v/>
      </c>
      <c r="C26" s="278" t="s">
        <v>715</v>
      </c>
      <c r="D26" s="278" t="str">
        <f>IF(Budget!$A$28="","",VLOOKUP(Budget!$A$28,OmkostningsParticipantsTabel[#Data],2,FALSE))</f>
        <v/>
      </c>
      <c r="H26" s="277">
        <f>IF(ProjektStart &gt;  DATE(FirstYear+6, 12, 31),  DATE(FirstYear+6, 1, 1), MAX(ProjektStart,DATE(FirstYear+6, 1, 1)))</f>
        <v>46388</v>
      </c>
      <c r="I26" s="277">
        <f>IF(ProjektSlut &lt;  DATE(FirstYear+6, 1, 1),  DATE(FirstYear+6, 12, 31), MIN(ProjektSlut,DATE(FirstYear+6, 12, 31)))</f>
        <v>46752</v>
      </c>
      <c r="M26" s="278" t="b">
        <v>0</v>
      </c>
    </row>
    <row r="27" spans="1:13" x14ac:dyDescent="0.25">
      <c r="A27" s="278" t="str">
        <f>IF(Budget!$C$28="", "", INDEX(Partnere!$A$2:$A$12, MATCH(Budget!$C$28, Partnere!$F$2:$F$12, 0)))</f>
        <v/>
      </c>
      <c r="B27" s="279" t="str">
        <f>IF(Budget!$O$28="", "", ROUND(Budget!$O$28,0))</f>
        <v/>
      </c>
      <c r="C27" s="278" t="s">
        <v>715</v>
      </c>
      <c r="D27" s="278" t="str">
        <f>IF(Budget!$A$28="","",VLOOKUP(Budget!$A$28,OmkostningsParticipantsTabel[#Data],2,FALSE))</f>
        <v/>
      </c>
      <c r="H27" s="277">
        <f>IF(ProjektStart &gt;  DATE(FirstYear+7, 12, 31),  DATE(FirstYear+7, 1, 1), MAX(ProjektStart,DATE(FirstYear+7, 1, 1)))</f>
        <v>46753</v>
      </c>
      <c r="I27" s="277">
        <f>IF(ProjektSlut &lt;  DATE(FirstYear+7, 1, 1),  DATE(FirstYear+7, 12, 31), MIN(ProjektSlut,DATE(FirstYear+7, 12, 31)))</f>
        <v>47118</v>
      </c>
      <c r="M27" s="278" t="b">
        <v>0</v>
      </c>
    </row>
    <row r="28" spans="1:13" x14ac:dyDescent="0.25">
      <c r="A28" s="278" t="str">
        <f>IF(Budget!$C$28="", "", INDEX(Partnere!$A$2:$A$12, MATCH(Budget!$C$28, Partnere!$F$2:$F$12, 0)))</f>
        <v/>
      </c>
      <c r="B28" s="279" t="str">
        <f>IF(Budget!$P$28="", "", ROUND(Budget!$P$28,0))</f>
        <v/>
      </c>
      <c r="C28" s="278" t="s">
        <v>715</v>
      </c>
      <c r="D28" s="278" t="str">
        <f>IF(Budget!$A$28="","",VLOOKUP(Budget!$A$28,OmkostningsParticipantsTabel[#Data],2,FALSE))</f>
        <v/>
      </c>
      <c r="H28" s="277">
        <f>IF(ProjektStart &gt;  DATE(FirstYear+8, 12, 31),  DATE(FirstYear+8, 1, 1), MAX(ProjektStart,DATE(FirstYear+8, 1, 1)))</f>
        <v>47119</v>
      </c>
      <c r="I28" s="277">
        <f>IF(ProjektSlut &lt;  DATE(FirstYear+8, 1, 1),  DATE(FirstYear+8, 12, 31), MIN(ProjektSlut,DATE(FirstYear+8, 12, 31)))</f>
        <v>47483</v>
      </c>
      <c r="M28" s="278" t="b">
        <v>0</v>
      </c>
    </row>
    <row r="29" spans="1:13" x14ac:dyDescent="0.25">
      <c r="A29" s="278" t="str">
        <f>IF(Budget!$C$29="", "", INDEX(Partnere!$A$2:$A$12, MATCH(Budget!$C$29, Partnere!$F$2:$F$12, 0)))</f>
        <v/>
      </c>
      <c r="B29" s="278" t="str">
        <f>IF(Budget!$H$29="", "", ROUND(Budget!$H$29,0))</f>
        <v/>
      </c>
      <c r="C29" s="278" t="s">
        <v>715</v>
      </c>
      <c r="D29" s="278" t="str">
        <f>IF(Budget!$A$29="","",VLOOKUP(Budget!$A$29,OmkostningsParticipantsTabel[#Data],2,FALSE))</f>
        <v/>
      </c>
      <c r="H29" s="277">
        <f>IF(ProjektStart &gt;  DATE(FirstYear, 12, 31),  DATE(FirstYear, 1, 1), MAX(ProjektStart,DATE(FirstYear, 1, 1)))</f>
        <v>44197</v>
      </c>
      <c r="I29" s="277">
        <f>IF(ProjektSlut &lt;  DATE(FirstYear, 1, 1),  DATE(FirstYear, 12, 31), MIN(ProjektSlut,DATE(FirstYear, 12, 31)))</f>
        <v>44561</v>
      </c>
      <c r="M29" s="278" t="b">
        <v>0</v>
      </c>
    </row>
    <row r="30" spans="1:13" x14ac:dyDescent="0.25">
      <c r="A30" s="278" t="str">
        <f>IF(Budget!$C$29="", "", INDEX(Partnere!$A$2:$A$12, MATCH(Budget!$C$29, Partnere!$F$2:$F$12, 0)))</f>
        <v/>
      </c>
      <c r="B30" s="278" t="str">
        <f>IF(Budget!$I$29="", "", ROUND(Budget!$I$29,0))</f>
        <v/>
      </c>
      <c r="C30" s="278" t="s">
        <v>715</v>
      </c>
      <c r="D30" s="278" t="str">
        <f>IF(Budget!$A$29="","",VLOOKUP(Budget!$A$29,OmkostningsParticipantsTabel[#Data],2,FALSE))</f>
        <v/>
      </c>
      <c r="H30" s="277">
        <f>IF(ProjektStart &gt;  DATE(FirstYear+1, 12, 31),  DATE(FirstYear+1, 1, 1), MAX(ProjektStart,DATE(FirstYear+1, 1, 1)))</f>
        <v>44562</v>
      </c>
      <c r="I30" s="277">
        <f>IF(ProjektSlut &lt;  DATE(FirstYear+1, 1, 1),  DATE(FirstYear+1, 12, 31), MIN(ProjektSlut,DATE(FirstYear+1, 12, 31)))</f>
        <v>44926</v>
      </c>
      <c r="M30" s="278" t="b">
        <v>0</v>
      </c>
    </row>
    <row r="31" spans="1:13" x14ac:dyDescent="0.25">
      <c r="A31" s="278" t="str">
        <f>IF(Budget!$C$29="", "", INDEX(Partnere!$A$2:$A$12, MATCH(Budget!$C$29, Partnere!$F$2:$F$12, 0)))</f>
        <v/>
      </c>
      <c r="B31" s="278" t="str">
        <f>IF(Budget!$J$29="", "", ROUND(Budget!$J$29,0))</f>
        <v/>
      </c>
      <c r="C31" s="278" t="s">
        <v>715</v>
      </c>
      <c r="D31" s="278" t="str">
        <f>IF(Budget!$A$29="","",VLOOKUP(Budget!$A$29,OmkostningsParticipantsTabel[#Data],2,FALSE))</f>
        <v/>
      </c>
      <c r="H31" s="277">
        <f>IF(ProjektStart &gt;  DATE(FirstYear+2, 12, 31),  DATE(FirstYear+2, 1, 1), MAX(ProjektStart,DATE(FirstYear+2, 1, 1)))</f>
        <v>44927</v>
      </c>
      <c r="I31" s="277">
        <f>IF(ProjektSlut &lt;  DATE(FirstYear+2, 1, 1),  DATE(FirstYear+2, 12, 31), MIN(ProjektSlut,DATE(FirstYear+2, 12, 31)))</f>
        <v>45291</v>
      </c>
      <c r="M31" s="278" t="b">
        <v>0</v>
      </c>
    </row>
    <row r="32" spans="1:13" x14ac:dyDescent="0.25">
      <c r="A32" s="278" t="str">
        <f>IF(Budget!$C$29="", "", INDEX(Partnere!$A$2:$A$12, MATCH(Budget!$C$29, Partnere!$F$2:$F$12, 0)))</f>
        <v/>
      </c>
      <c r="B32" s="278" t="str">
        <f>IF(Budget!$K$29="", "", ROUND(Budget!$K$29,0))</f>
        <v/>
      </c>
      <c r="C32" s="278" t="s">
        <v>715</v>
      </c>
      <c r="D32" s="278" t="str">
        <f>IF(Budget!$A$29="","",VLOOKUP(Budget!$A$29,OmkostningsParticipantsTabel[#Data],2,FALSE))</f>
        <v/>
      </c>
      <c r="H32" s="277">
        <f>IF(ProjektStart &gt;  DATE(FirstYear+3, 12, 31),  DATE(FirstYear+3, 1, 1), MAX(ProjektStart,DATE(FirstYear+3, 1, 1)))</f>
        <v>45292</v>
      </c>
      <c r="I32" s="277">
        <f>IF(ProjektSlut &lt;  DATE(FirstYear+3, 1, 1),  DATE(FirstYear+3, 12, 31), MIN(ProjektSlut,DATE(FirstYear+3, 12, 31)))</f>
        <v>45657</v>
      </c>
      <c r="M32" s="278" t="b">
        <v>0</v>
      </c>
    </row>
    <row r="33" spans="1:13" x14ac:dyDescent="0.25">
      <c r="A33" s="278" t="str">
        <f>IF(Budget!$C$29="", "", INDEX(Partnere!$A$2:$A$12, MATCH(Budget!$C$29, Partnere!$F$2:$F$12, 0)))</f>
        <v/>
      </c>
      <c r="B33" s="278" t="str">
        <f>IF(Budget!$L$29="", "", ROUND(Budget!$L$29,0))</f>
        <v/>
      </c>
      <c r="C33" s="278" t="s">
        <v>715</v>
      </c>
      <c r="D33" s="278" t="str">
        <f>IF(Budget!$A$29="","",VLOOKUP(Budget!$A$29,OmkostningsParticipantsTabel[#Data],2,FALSE))</f>
        <v/>
      </c>
      <c r="H33" s="277">
        <f>IF(ProjektStart &gt;  DATE(FirstYear+4, 12, 31),  DATE(FirstYear+4, 1, 1), MAX(ProjektStart,DATE(FirstYear+4, 1, 1)))</f>
        <v>45658</v>
      </c>
      <c r="I33" s="277">
        <f>IF(ProjektSlut &lt;  DATE(FirstYear+4, 1, 1),  DATE(FirstYear+4, 12, 31), MIN(ProjektSlut,DATE(FirstYear+4, 12, 31)))</f>
        <v>46022</v>
      </c>
      <c r="M33" s="278" t="b">
        <v>0</v>
      </c>
    </row>
    <row r="34" spans="1:13" x14ac:dyDescent="0.25">
      <c r="A34" s="278" t="str">
        <f>IF(Budget!$C$29="", "", INDEX(Partnere!$A$2:$A$12, MATCH(Budget!$C$29, Partnere!$F$2:$F$12, 0)))</f>
        <v/>
      </c>
      <c r="B34" s="278" t="str">
        <f>IF(Budget!$M$29="", "", ROUND(Budget!$M$29,0))</f>
        <v/>
      </c>
      <c r="C34" s="278" t="s">
        <v>715</v>
      </c>
      <c r="D34" s="278" t="str">
        <f>IF(Budget!$A$29="","",VLOOKUP(Budget!$A$29,OmkostningsParticipantsTabel[#Data],2,FALSE))</f>
        <v/>
      </c>
      <c r="H34" s="277">
        <f>IF(ProjektStart &gt;  DATE(FirstYear+5, 12, 31),  DATE(FirstYear+5, 1, 1), MAX(ProjektStart,DATE(FirstYear+5, 1, 1)))</f>
        <v>46023</v>
      </c>
      <c r="I34" s="277">
        <f>IF(ProjektSlut &lt;  DATE(FirstYear+5, 1, 1),  DATE(FirstYear+5, 12, 31), MIN(ProjektSlut,DATE(FirstYear+5, 12, 31)))</f>
        <v>46387</v>
      </c>
      <c r="M34" s="278" t="b">
        <v>0</v>
      </c>
    </row>
    <row r="35" spans="1:13" x14ac:dyDescent="0.25">
      <c r="A35" s="278" t="str">
        <f>IF(Budget!$C$29="", "", INDEX(Partnere!$A$2:$A$12, MATCH(Budget!$C$29, Partnere!$F$2:$F$12, 0)))</f>
        <v/>
      </c>
      <c r="B35" s="279" t="str">
        <f>IF(Budget!$N$29="", "", ROUND(Budget!$N$29,0))</f>
        <v/>
      </c>
      <c r="C35" s="278" t="s">
        <v>715</v>
      </c>
      <c r="D35" s="278" t="str">
        <f>IF(Budget!$A$29="","",VLOOKUP(Budget!$A$29,OmkostningsParticipantsTabel[#Data],2,FALSE))</f>
        <v/>
      </c>
      <c r="H35" s="277">
        <f>IF(ProjektStart &gt;  DATE(FirstYear+6, 12, 31),  DATE(FirstYear+6, 1, 1), MAX(ProjektStart,DATE(FirstYear+6, 1, 1)))</f>
        <v>46388</v>
      </c>
      <c r="I35" s="277">
        <f>IF(ProjektSlut &lt;  DATE(FirstYear+6, 1, 1),  DATE(FirstYear+6, 12, 31), MIN(ProjektSlut,DATE(FirstYear+6, 12, 31)))</f>
        <v>46752</v>
      </c>
      <c r="M35" s="278" t="b">
        <v>0</v>
      </c>
    </row>
    <row r="36" spans="1:13" x14ac:dyDescent="0.25">
      <c r="A36" s="278" t="str">
        <f>IF(Budget!$C$29="", "", INDEX(Partnere!$A$2:$A$12, MATCH(Budget!$C$29, Partnere!$F$2:$F$12, 0)))</f>
        <v/>
      </c>
      <c r="B36" s="279" t="str">
        <f>IF(Budget!$O$29="", "", ROUND(Budget!$O$29,0))</f>
        <v/>
      </c>
      <c r="C36" s="278" t="s">
        <v>715</v>
      </c>
      <c r="D36" s="278" t="str">
        <f>IF(Budget!$A$29="","",VLOOKUP(Budget!$A$29,OmkostningsParticipantsTabel[#Data],2,FALSE))</f>
        <v/>
      </c>
      <c r="H36" s="277">
        <f>IF(ProjektStart &gt;  DATE(FirstYear+7, 12, 31),  DATE(FirstYear+7, 1, 1), MAX(ProjektStart,DATE(FirstYear+7, 1, 1)))</f>
        <v>46753</v>
      </c>
      <c r="I36" s="277">
        <f>IF(ProjektSlut &lt;  DATE(FirstYear+7, 1, 1),  DATE(FirstYear+7, 12, 31), MIN(ProjektSlut,DATE(FirstYear+7, 12, 31)))</f>
        <v>47118</v>
      </c>
      <c r="M36" s="278" t="b">
        <v>0</v>
      </c>
    </row>
    <row r="37" spans="1:13" x14ac:dyDescent="0.25">
      <c r="A37" s="278" t="str">
        <f>IF(Budget!$C$29="", "", INDEX(Partnere!$A$2:$A$12, MATCH(Budget!$C$29, Partnere!$F$2:$F$12, 0)))</f>
        <v/>
      </c>
      <c r="B37" s="279" t="str">
        <f>IF(Budget!$P$29="", "", ROUND(Budget!$P$29,0))</f>
        <v/>
      </c>
      <c r="C37" s="278" t="s">
        <v>715</v>
      </c>
      <c r="D37" s="278" t="str">
        <f>IF(Budget!$A$29="","",VLOOKUP(Budget!$A$29,OmkostningsParticipantsTabel[#Data],2,FALSE))</f>
        <v/>
      </c>
      <c r="H37" s="277">
        <f>IF(ProjektStart &gt;  DATE(FirstYear+8, 12, 31),  DATE(FirstYear+8, 1, 1), MAX(ProjektStart,DATE(FirstYear+8, 1, 1)))</f>
        <v>47119</v>
      </c>
      <c r="I37" s="277">
        <f>IF(ProjektSlut &lt;  DATE(FirstYear+8, 1, 1),  DATE(FirstYear+8, 12, 31), MIN(ProjektSlut,DATE(FirstYear+8, 12, 31)))</f>
        <v>47483</v>
      </c>
      <c r="M37" s="278" t="b">
        <v>0</v>
      </c>
    </row>
    <row r="38" spans="1:13" x14ac:dyDescent="0.25">
      <c r="A38" s="278" t="str">
        <f>IF(Budget!$C$30="", "", INDEX(Partnere!$A$2:$A$12, MATCH(Budget!$C$30, Partnere!$F$2:$F$12, 0)))</f>
        <v/>
      </c>
      <c r="B38" s="279" t="str">
        <f>IF(Budget!$H$30="", "", ROUND(Budget!$H$30,0))</f>
        <v/>
      </c>
      <c r="C38" s="278" t="s">
        <v>715</v>
      </c>
      <c r="D38" s="278" t="str">
        <f>IF(Budget!$A$30="","",VLOOKUP(Budget!$A$30,OmkostningsParticipantsTabel[#Data],2,FALSE))</f>
        <v/>
      </c>
      <c r="H38" s="277">
        <f>IF(ProjektStart &gt;  DATE(FirstYear, 12, 31),  DATE(FirstYear, 1, 1), MAX(ProjektStart,DATE(FirstYear, 1, 1)))</f>
        <v>44197</v>
      </c>
      <c r="I38" s="277">
        <f>IF(ProjektSlut &lt;  DATE(FirstYear, 1, 1),  DATE(FirstYear, 12, 31), MIN(ProjektSlut,DATE(FirstYear, 12, 31)))</f>
        <v>44561</v>
      </c>
      <c r="M38" s="278" t="b">
        <v>0</v>
      </c>
    </row>
    <row r="39" spans="1:13" x14ac:dyDescent="0.25">
      <c r="A39" s="278" t="str">
        <f>IF(Budget!$C$30="", "", INDEX(Partnere!$A$2:$A$12, MATCH(Budget!$C$30, Partnere!$F$2:$F$12, 0)))</f>
        <v/>
      </c>
      <c r="B39" s="279" t="str">
        <f>IF(Budget!$I$30="", "", ROUND(Budget!$I$30,0))</f>
        <v/>
      </c>
      <c r="C39" s="278" t="s">
        <v>715</v>
      </c>
      <c r="D39" s="278" t="str">
        <f>IF(Budget!$A$30="","",VLOOKUP(Budget!$A$30,OmkostningsParticipantsTabel[#Data],2,FALSE))</f>
        <v/>
      </c>
      <c r="H39" s="277">
        <f>IF(ProjektStart &gt;  DATE(FirstYear+1, 12, 31),  DATE(FirstYear+1, 1, 1), MAX(ProjektStart,DATE(FirstYear+1, 1, 1)))</f>
        <v>44562</v>
      </c>
      <c r="I39" s="277">
        <f>IF(ProjektSlut &lt;  DATE(FirstYear+1, 1, 1),  DATE(FirstYear+1, 12, 31), MIN(ProjektSlut,DATE(FirstYear+1, 12, 31)))</f>
        <v>44926</v>
      </c>
      <c r="M39" s="278" t="b">
        <v>0</v>
      </c>
    </row>
    <row r="40" spans="1:13" x14ac:dyDescent="0.25">
      <c r="A40" s="278" t="str">
        <f>IF(Budget!$C$30="", "", INDEX(Partnere!$A$2:$A$12, MATCH(Budget!$C$30, Partnere!$F$2:$F$12, 0)))</f>
        <v/>
      </c>
      <c r="B40" s="279" t="str">
        <f>IF(Budget!$J$30="", "", ROUND(Budget!$J$30,0))</f>
        <v/>
      </c>
      <c r="C40" s="278" t="s">
        <v>715</v>
      </c>
      <c r="D40" s="278" t="str">
        <f>IF(Budget!$A$30="","",VLOOKUP(Budget!$A$30,OmkostningsParticipantsTabel[#Data],2,FALSE))</f>
        <v/>
      </c>
      <c r="H40" s="277">
        <f>IF(ProjektStart &gt;  DATE(FirstYear+2, 12, 31),  DATE(FirstYear+2, 1, 1), MAX(ProjektStart,DATE(FirstYear+2, 1, 1)))</f>
        <v>44927</v>
      </c>
      <c r="I40" s="277">
        <f>IF(ProjektSlut &lt;  DATE(FirstYear+2, 1, 1),  DATE(FirstYear+2, 12, 31), MIN(ProjektSlut,DATE(FirstYear+2, 12, 31)))</f>
        <v>45291</v>
      </c>
      <c r="M40" s="278" t="b">
        <v>0</v>
      </c>
    </row>
    <row r="41" spans="1:13" x14ac:dyDescent="0.25">
      <c r="A41" s="278" t="str">
        <f>IF(Budget!$C$30="", "", INDEX(Partnere!$A$2:$A$12, MATCH(Budget!$C$30, Partnere!$F$2:$F$12, 0)))</f>
        <v/>
      </c>
      <c r="B41" s="279" t="str">
        <f>IF(Budget!$K$30="", "", ROUND(Budget!$K$30,0))</f>
        <v/>
      </c>
      <c r="C41" s="278" t="s">
        <v>715</v>
      </c>
      <c r="D41" s="278" t="str">
        <f>IF(Budget!$A$30="","",VLOOKUP(Budget!$A$30,OmkostningsParticipantsTabel[#Data],2,FALSE))</f>
        <v/>
      </c>
      <c r="H41" s="277">
        <f>IF(ProjektStart &gt;  DATE(FirstYear+3, 12, 31),  DATE(FirstYear+3, 1, 1), MAX(ProjektStart,DATE(FirstYear+3, 1, 1)))</f>
        <v>45292</v>
      </c>
      <c r="I41" s="277">
        <f>IF(ProjektSlut &lt;  DATE(FirstYear+3, 1, 1),  DATE(FirstYear+3, 12, 31), MIN(ProjektSlut,DATE(FirstYear+3, 12, 31)))</f>
        <v>45657</v>
      </c>
      <c r="M41" s="278" t="b">
        <v>0</v>
      </c>
    </row>
    <row r="42" spans="1:13" x14ac:dyDescent="0.25">
      <c r="A42" s="278" t="str">
        <f>IF(Budget!$C$30="", "", INDEX(Partnere!$A$2:$A$12, MATCH(Budget!$C$30, Partnere!$F$2:$F$12, 0)))</f>
        <v/>
      </c>
      <c r="B42" s="279" t="str">
        <f>IF(Budget!$L$30="", "", ROUND(Budget!$L$30,0))</f>
        <v/>
      </c>
      <c r="C42" s="278" t="s">
        <v>715</v>
      </c>
      <c r="D42" s="278" t="str">
        <f>IF(Budget!$A$30="","",VLOOKUP(Budget!$A$30,OmkostningsParticipantsTabel[#Data],2,FALSE))</f>
        <v/>
      </c>
      <c r="H42" s="277">
        <f>IF(ProjektStart &gt;  DATE(FirstYear+4, 12, 31),  DATE(FirstYear+4, 1, 1), MAX(ProjektStart,DATE(FirstYear+4, 1, 1)))</f>
        <v>45658</v>
      </c>
      <c r="I42" s="277">
        <f>IF(ProjektSlut &lt;  DATE(FirstYear+4, 1, 1),  DATE(FirstYear+4, 12, 31), MIN(ProjektSlut,DATE(FirstYear+4, 12, 31)))</f>
        <v>46022</v>
      </c>
      <c r="M42" s="278" t="b">
        <v>0</v>
      </c>
    </row>
    <row r="43" spans="1:13" x14ac:dyDescent="0.25">
      <c r="A43" s="278" t="str">
        <f>IF(Budget!$C$30="", "", INDEX(Partnere!$A$2:$A$12, MATCH(Budget!$C$30, Partnere!$F$2:$F$12, 0)))</f>
        <v/>
      </c>
      <c r="B43" s="279" t="str">
        <f>IF(Budget!$M$30="", "", ROUND(Budget!$M$30,0))</f>
        <v/>
      </c>
      <c r="C43" s="278" t="s">
        <v>715</v>
      </c>
      <c r="D43" s="278" t="str">
        <f>IF(Budget!$A$30="","",VLOOKUP(Budget!$A$30,OmkostningsParticipantsTabel[#Data],2,FALSE))</f>
        <v/>
      </c>
      <c r="H43" s="277">
        <f>IF(ProjektStart &gt;  DATE(FirstYear+5, 12, 31),  DATE(FirstYear+5, 1, 1), MAX(ProjektStart,DATE(FirstYear+5, 1, 1)))</f>
        <v>46023</v>
      </c>
      <c r="I43" s="277">
        <f>IF(ProjektSlut &lt;  DATE(FirstYear+5, 1, 1),  DATE(FirstYear+5, 12, 31), MIN(ProjektSlut,DATE(FirstYear+5, 12, 31)))</f>
        <v>46387</v>
      </c>
      <c r="M43" s="278" t="b">
        <v>0</v>
      </c>
    </row>
    <row r="44" spans="1:13" x14ac:dyDescent="0.25">
      <c r="A44" s="278" t="str">
        <f>IF(Budget!$C$30="", "", INDEX(Partnere!$A$2:$A$12, MATCH(Budget!$C$30, Partnere!$F$2:$F$12, 0)))</f>
        <v/>
      </c>
      <c r="B44" s="279" t="str">
        <f>IF(Budget!$N$30="", "", ROUND(Budget!$N$30,0))</f>
        <v/>
      </c>
      <c r="C44" s="278" t="s">
        <v>715</v>
      </c>
      <c r="D44" s="278" t="str">
        <f>IF(Budget!$A$30="","",VLOOKUP(Budget!$A$30,OmkostningsParticipantsTabel[#Data],2,FALSE))</f>
        <v/>
      </c>
      <c r="H44" s="277">
        <f>IF(ProjektStart &gt;  DATE(FirstYear+6, 12, 31),  DATE(FirstYear+6, 1, 1), MAX(ProjektStart,DATE(FirstYear+6, 1, 1)))</f>
        <v>46388</v>
      </c>
      <c r="I44" s="277">
        <f>IF(ProjektSlut &lt;  DATE(FirstYear+6, 1, 1),  DATE(FirstYear+6, 12, 31), MIN(ProjektSlut,DATE(FirstYear+6, 12, 31)))</f>
        <v>46752</v>
      </c>
      <c r="M44" s="278" t="b">
        <v>0</v>
      </c>
    </row>
    <row r="45" spans="1:13" x14ac:dyDescent="0.25">
      <c r="A45" s="278" t="str">
        <f>IF(Budget!$C$30="", "", INDEX(Partnere!$A$2:$A$12, MATCH(Budget!$C$30, Partnere!$F$2:$F$12, 0)))</f>
        <v/>
      </c>
      <c r="B45" s="279" t="str">
        <f>IF(Budget!$O$30="", "", ROUND(Budget!$O$30,0))</f>
        <v/>
      </c>
      <c r="C45" s="278" t="s">
        <v>715</v>
      </c>
      <c r="D45" s="278" t="str">
        <f>IF(Budget!$A$30="","",VLOOKUP(Budget!$A$30,OmkostningsParticipantsTabel[#Data],2,FALSE))</f>
        <v/>
      </c>
      <c r="H45" s="277">
        <f>IF(ProjektStart &gt;  DATE(FirstYear+7, 12, 31),  DATE(FirstYear+7, 1, 1), MAX(ProjektStart,DATE(FirstYear+7, 1, 1)))</f>
        <v>46753</v>
      </c>
      <c r="I45" s="277">
        <f>IF(ProjektSlut &lt;  DATE(FirstYear+7, 1, 1),  DATE(FirstYear+7, 12, 31), MIN(ProjektSlut,DATE(FirstYear+7, 12, 31)))</f>
        <v>47118</v>
      </c>
      <c r="M45" s="278" t="b">
        <v>0</v>
      </c>
    </row>
    <row r="46" spans="1:13" x14ac:dyDescent="0.25">
      <c r="A46" s="278" t="str">
        <f>IF(Budget!$C$30="", "", INDEX(Partnere!$A$2:$A$12, MATCH(Budget!$C$30, Partnere!$F$2:$F$12, 0)))</f>
        <v/>
      </c>
      <c r="B46" s="279" t="str">
        <f>IF(Budget!$P$30="", "", ROUND(Budget!$P$30,0))</f>
        <v/>
      </c>
      <c r="C46" s="278" t="s">
        <v>715</v>
      </c>
      <c r="D46" s="278" t="str">
        <f>IF(Budget!$A$30="","",VLOOKUP(Budget!$A$30,OmkostningsParticipantsTabel[#Data],2,FALSE))</f>
        <v/>
      </c>
      <c r="H46" s="277">
        <f>IF(ProjektStart &gt;  DATE(FirstYear+8, 12, 31),  DATE(FirstYear+8, 1, 1), MAX(ProjektStart,DATE(FirstYear+8, 1, 1)))</f>
        <v>47119</v>
      </c>
      <c r="I46" s="277">
        <f>IF(ProjektSlut &lt;  DATE(FirstYear+8, 1, 1),  DATE(FirstYear+8, 12, 31), MIN(ProjektSlut,DATE(FirstYear+8, 12, 31)))</f>
        <v>47483</v>
      </c>
      <c r="M46" s="278" t="b">
        <v>0</v>
      </c>
    </row>
    <row r="47" spans="1:13" x14ac:dyDescent="0.25">
      <c r="A47" s="278" t="str">
        <f>IF(Budget!$C$31="", "", INDEX(Partnere!$A$2:$A$12, MATCH(Budget!$C$31, Partnere!$F$2:$F$12, 0)))</f>
        <v/>
      </c>
      <c r="B47" s="279" t="str">
        <f>IF(Budget!$H$31="", "", ROUND(Budget!$H$31,0))</f>
        <v/>
      </c>
      <c r="C47" s="278" t="s">
        <v>715</v>
      </c>
      <c r="D47" s="278" t="str">
        <f>IF(Budget!$A$31="","",VLOOKUP(Budget!$A$31,OmkostningsParticipantsTabel[#Data],2,FALSE))</f>
        <v/>
      </c>
      <c r="H47" s="277">
        <f>IF(ProjektStart &gt;  DATE(FirstYear, 12, 31),  DATE(FirstYear, 1, 1), MAX(ProjektStart,DATE(FirstYear, 1, 1)))</f>
        <v>44197</v>
      </c>
      <c r="I47" s="277">
        <f>IF(ProjektSlut &lt;  DATE(FirstYear, 1, 1),  DATE(FirstYear, 12, 31), MIN(ProjektSlut,DATE(FirstYear, 12, 31)))</f>
        <v>44561</v>
      </c>
      <c r="M47" s="278" t="b">
        <v>0</v>
      </c>
    </row>
    <row r="48" spans="1:13" x14ac:dyDescent="0.25">
      <c r="A48" s="278" t="str">
        <f>IF(Budget!$C$31="", "", INDEX(Partnere!$A$2:$A$12, MATCH(Budget!$C$31, Partnere!$F$2:$F$12, 0)))</f>
        <v/>
      </c>
      <c r="B48" s="279" t="str">
        <f>IF(Budget!$I$31="", "", ROUND(Budget!$I$31,0))</f>
        <v/>
      </c>
      <c r="C48" s="278" t="s">
        <v>715</v>
      </c>
      <c r="D48" s="278" t="str">
        <f>IF(Budget!$A$31="","",VLOOKUP(Budget!$A$31,OmkostningsParticipantsTabel[#Data],2,FALSE))</f>
        <v/>
      </c>
      <c r="H48" s="277">
        <f>IF(ProjektStart &gt;  DATE(FirstYear+1, 12, 31),  DATE(FirstYear+1, 1, 1), MAX(ProjektStart,DATE(FirstYear+1, 1, 1)))</f>
        <v>44562</v>
      </c>
      <c r="I48" s="277">
        <f>IF(ProjektSlut &lt;  DATE(FirstYear+1, 1, 1),  DATE(FirstYear+1, 12, 31), MIN(ProjektSlut,DATE(FirstYear+1, 12, 31)))</f>
        <v>44926</v>
      </c>
      <c r="M48" s="278" t="b">
        <v>0</v>
      </c>
    </row>
    <row r="49" spans="1:13" x14ac:dyDescent="0.25">
      <c r="A49" s="278" t="str">
        <f>IF(Budget!$C$31="", "", INDEX(Partnere!$A$2:$A$12, MATCH(Budget!$C$31, Partnere!$F$2:$F$12, 0)))</f>
        <v/>
      </c>
      <c r="B49" s="279" t="str">
        <f>IF(Budget!$J$31="", "", ROUND(Budget!$J$31,0))</f>
        <v/>
      </c>
      <c r="C49" s="278" t="s">
        <v>715</v>
      </c>
      <c r="D49" s="278" t="str">
        <f>IF(Budget!$A$31="","",VLOOKUP(Budget!$A$31,OmkostningsParticipantsTabel[#Data],2,FALSE))</f>
        <v/>
      </c>
      <c r="H49" s="277">
        <f>IF(ProjektStart &gt;  DATE(FirstYear+2, 12, 31),  DATE(FirstYear+2, 1, 1), MAX(ProjektStart,DATE(FirstYear+2, 1, 1)))</f>
        <v>44927</v>
      </c>
      <c r="I49" s="277">
        <f>IF(ProjektSlut &lt;  DATE(FirstYear+2, 1, 1),  DATE(FirstYear+2, 12, 31), MIN(ProjektSlut,DATE(FirstYear+2, 12, 31)))</f>
        <v>45291</v>
      </c>
      <c r="M49" s="278" t="b">
        <v>0</v>
      </c>
    </row>
    <row r="50" spans="1:13" x14ac:dyDescent="0.25">
      <c r="A50" s="278" t="str">
        <f>IF(Budget!$C$31="", "", INDEX(Partnere!$A$2:$A$12, MATCH(Budget!$C$31, Partnere!$F$2:$F$12, 0)))</f>
        <v/>
      </c>
      <c r="B50" s="279" t="str">
        <f>IF(Budget!$K$31="", "", ROUND(Budget!$K$31,0))</f>
        <v/>
      </c>
      <c r="C50" s="278" t="s">
        <v>715</v>
      </c>
      <c r="D50" s="278" t="str">
        <f>IF(Budget!$A$31="","",VLOOKUP(Budget!$A$31,OmkostningsParticipantsTabel[#Data],2,FALSE))</f>
        <v/>
      </c>
      <c r="H50" s="277">
        <f>IF(ProjektStart &gt;  DATE(FirstYear+3, 12, 31),  DATE(FirstYear+3, 1, 1), MAX(ProjektStart,DATE(FirstYear+3, 1, 1)))</f>
        <v>45292</v>
      </c>
      <c r="I50" s="277">
        <f>IF(ProjektSlut &lt;  DATE(FirstYear+3, 1, 1),  DATE(FirstYear+3, 12, 31), MIN(ProjektSlut,DATE(FirstYear+3, 12, 31)))</f>
        <v>45657</v>
      </c>
      <c r="M50" s="278" t="b">
        <v>0</v>
      </c>
    </row>
    <row r="51" spans="1:13" x14ac:dyDescent="0.25">
      <c r="A51" s="278" t="str">
        <f>IF(Budget!$C$31="", "", INDEX(Partnere!$A$2:$A$12, MATCH(Budget!$C$31, Partnere!$F$2:$F$12, 0)))</f>
        <v/>
      </c>
      <c r="B51" s="279" t="str">
        <f>IF(Budget!$L$31="", "", ROUND(Budget!$L$31,0))</f>
        <v/>
      </c>
      <c r="C51" s="278" t="s">
        <v>715</v>
      </c>
      <c r="D51" s="278" t="str">
        <f>IF(Budget!$A$31="","",VLOOKUP(Budget!$A$31,OmkostningsParticipantsTabel[#Data],2,FALSE))</f>
        <v/>
      </c>
      <c r="H51" s="277">
        <f>IF(ProjektStart &gt;  DATE(FirstYear+4, 12, 31),  DATE(FirstYear+4, 1, 1), MAX(ProjektStart,DATE(FirstYear+4, 1, 1)))</f>
        <v>45658</v>
      </c>
      <c r="I51" s="277">
        <f>IF(ProjektSlut &lt;  DATE(FirstYear+4, 1, 1),  DATE(FirstYear+4, 12, 31), MIN(ProjektSlut,DATE(FirstYear+4, 12, 31)))</f>
        <v>46022</v>
      </c>
      <c r="M51" s="278" t="b">
        <v>0</v>
      </c>
    </row>
    <row r="52" spans="1:13" x14ac:dyDescent="0.25">
      <c r="A52" s="278" t="str">
        <f>IF(Budget!$C$31="", "", INDEX(Partnere!$A$2:$A$12, MATCH(Budget!$C$31, Partnere!$F$2:$F$12, 0)))</f>
        <v/>
      </c>
      <c r="B52" s="279" t="str">
        <f>IF(Budget!$M$31="", "", ROUND(Budget!$M$31,0))</f>
        <v/>
      </c>
      <c r="C52" s="278" t="s">
        <v>715</v>
      </c>
      <c r="D52" s="278" t="str">
        <f>IF(Budget!$A$31="","",VLOOKUP(Budget!$A$31,OmkostningsParticipantsTabel[#Data],2,FALSE))</f>
        <v/>
      </c>
      <c r="H52" s="277">
        <f>IF(ProjektStart &gt;  DATE(FirstYear+5, 12, 31),  DATE(FirstYear+5, 1, 1), MAX(ProjektStart,DATE(FirstYear+5, 1, 1)))</f>
        <v>46023</v>
      </c>
      <c r="I52" s="277">
        <f>IF(ProjektSlut &lt;  DATE(FirstYear+5, 1, 1),  DATE(FirstYear+5, 12, 31), MIN(ProjektSlut,DATE(FirstYear+5, 12, 31)))</f>
        <v>46387</v>
      </c>
      <c r="M52" s="278" t="b">
        <v>0</v>
      </c>
    </row>
    <row r="53" spans="1:13" x14ac:dyDescent="0.25">
      <c r="A53" s="278" t="str">
        <f>IF(Budget!$C$31="", "", INDEX(Partnere!$A$2:$A$12, MATCH(Budget!$C$31, Partnere!$F$2:$F$12, 0)))</f>
        <v/>
      </c>
      <c r="B53" s="279" t="str">
        <f>IF(Budget!$N$31="", "", ROUND(Budget!$N$31,0))</f>
        <v/>
      </c>
      <c r="C53" s="278" t="s">
        <v>715</v>
      </c>
      <c r="D53" s="278" t="str">
        <f>IF(Budget!$A$31="","",VLOOKUP(Budget!$A$31,OmkostningsParticipantsTabel[#Data],2,FALSE))</f>
        <v/>
      </c>
      <c r="H53" s="277">
        <f>IF(ProjektStart &gt;  DATE(FirstYear+6, 12, 31),  DATE(FirstYear+6, 1, 1), MAX(ProjektStart,DATE(FirstYear+6, 1, 1)))</f>
        <v>46388</v>
      </c>
      <c r="I53" s="277">
        <f>IF(ProjektSlut &lt;  DATE(FirstYear+6, 1, 1),  DATE(FirstYear+6, 12, 31), MIN(ProjektSlut,DATE(FirstYear+6, 12, 31)))</f>
        <v>46752</v>
      </c>
      <c r="M53" s="278" t="b">
        <v>0</v>
      </c>
    </row>
    <row r="54" spans="1:13" x14ac:dyDescent="0.25">
      <c r="A54" s="278" t="str">
        <f>IF(Budget!$C$31="", "", INDEX(Partnere!$A$2:$A$12, MATCH(Budget!$C$31, Partnere!$F$2:$F$12, 0)))</f>
        <v/>
      </c>
      <c r="B54" s="279" t="str">
        <f>IF(Budget!$O$31="", "", ROUND(Budget!$O$31,0))</f>
        <v/>
      </c>
      <c r="C54" s="278" t="s">
        <v>715</v>
      </c>
      <c r="D54" s="278" t="str">
        <f>IF(Budget!$A$31="","",VLOOKUP(Budget!$A$31,OmkostningsParticipantsTabel[#Data],2,FALSE))</f>
        <v/>
      </c>
      <c r="H54" s="277">
        <f>IF(ProjektStart &gt;  DATE(FirstYear+7, 12, 31),  DATE(FirstYear+7, 1, 1), MAX(ProjektStart,DATE(FirstYear+7, 1, 1)))</f>
        <v>46753</v>
      </c>
      <c r="I54" s="277">
        <f>IF(ProjektSlut &lt;  DATE(FirstYear+7, 1, 1),  DATE(FirstYear+7, 12, 31), MIN(ProjektSlut,DATE(FirstYear+7, 12, 31)))</f>
        <v>47118</v>
      </c>
      <c r="M54" s="278" t="b">
        <v>0</v>
      </c>
    </row>
    <row r="55" spans="1:13" x14ac:dyDescent="0.25">
      <c r="A55" s="278" t="str">
        <f>IF(Budget!$C$31="", "", INDEX(Partnere!$A$2:$A$12, MATCH(Budget!$C$31, Partnere!$F$2:$F$12, 0)))</f>
        <v/>
      </c>
      <c r="B55" s="279" t="str">
        <f>IF(Budget!$P$31="", "", ROUND(Budget!$P$31,0))</f>
        <v/>
      </c>
      <c r="C55" s="278" t="s">
        <v>715</v>
      </c>
      <c r="D55" s="278" t="str">
        <f>IF(Budget!$A$31="","",VLOOKUP(Budget!$A$31,OmkostningsParticipantsTabel[#Data],2,FALSE))</f>
        <v/>
      </c>
      <c r="H55" s="277">
        <f>IF(ProjektStart &gt;  DATE(FirstYear+8, 12, 31),  DATE(FirstYear+8, 1, 1), MAX(ProjektStart,DATE(FirstYear+8, 1, 1)))</f>
        <v>47119</v>
      </c>
      <c r="I55" s="277">
        <f>IF(ProjektSlut &lt;  DATE(FirstYear+8, 1, 1),  DATE(FirstYear+8, 12, 31), MIN(ProjektSlut,DATE(FirstYear+8, 12, 31)))</f>
        <v>47483</v>
      </c>
      <c r="M55" s="278" t="b">
        <v>0</v>
      </c>
    </row>
    <row r="56" spans="1:13" x14ac:dyDescent="0.25">
      <c r="A56" s="278" t="str">
        <f>IF(Budget!$C$32="", "", INDEX(Partnere!$A$2:$A$12, MATCH(Budget!$C$32, Partnere!$F$2:$F$12, 0)))</f>
        <v/>
      </c>
      <c r="B56" s="279" t="str">
        <f>IF(Budget!$H$32="", "", ROUND(Budget!$H$32,0))</f>
        <v/>
      </c>
      <c r="C56" s="278" t="s">
        <v>715</v>
      </c>
      <c r="D56" s="278" t="str">
        <f>IF(Budget!$A$32="","",VLOOKUP(Budget!$A$32,OmkostningsParticipantsTabel[#Data],2,FALSE))</f>
        <v/>
      </c>
      <c r="H56" s="277">
        <f>IF(ProjektStart &gt;  DATE(FirstYear, 12, 31),  DATE(FirstYear, 1, 1), MAX(ProjektStart,DATE(FirstYear, 1, 1)))</f>
        <v>44197</v>
      </c>
      <c r="I56" s="277">
        <f>IF(ProjektSlut &lt;  DATE(FirstYear, 1, 1),  DATE(FirstYear, 12, 31), MIN(ProjektSlut,DATE(FirstYear, 12, 31)))</f>
        <v>44561</v>
      </c>
      <c r="M56" s="278" t="b">
        <v>0</v>
      </c>
    </row>
    <row r="57" spans="1:13" x14ac:dyDescent="0.25">
      <c r="A57" s="278" t="str">
        <f>IF(Budget!$C$32="", "", INDEX(Partnere!$A$2:$A$12, MATCH(Budget!$C$32, Partnere!$F$2:$F$12, 0)))</f>
        <v/>
      </c>
      <c r="B57" s="279" t="str">
        <f>IF(Budget!$I$32="", "", ROUND(Budget!$I$32,0))</f>
        <v/>
      </c>
      <c r="C57" s="278" t="s">
        <v>715</v>
      </c>
      <c r="D57" s="278" t="str">
        <f>IF(Budget!$A$32="","",VLOOKUP(Budget!$A$32,OmkostningsParticipantsTabel[#Data],2,FALSE))</f>
        <v/>
      </c>
      <c r="H57" s="277">
        <f>IF(ProjektStart &gt;  DATE(FirstYear+1, 12, 31),  DATE(FirstYear+1, 1, 1), MAX(ProjektStart,DATE(FirstYear+1, 1, 1)))</f>
        <v>44562</v>
      </c>
      <c r="I57" s="277">
        <f>IF(ProjektSlut &lt;  DATE(FirstYear+1, 1, 1),  DATE(FirstYear+1, 12, 31), MIN(ProjektSlut,DATE(FirstYear+1, 12, 31)))</f>
        <v>44926</v>
      </c>
      <c r="M57" s="278" t="b">
        <v>0</v>
      </c>
    </row>
    <row r="58" spans="1:13" x14ac:dyDescent="0.25">
      <c r="A58" s="278" t="str">
        <f>IF(Budget!$C$32="", "", INDEX(Partnere!$A$2:$A$12, MATCH(Budget!$C$32, Partnere!$F$2:$F$12, 0)))</f>
        <v/>
      </c>
      <c r="B58" s="279" t="str">
        <f>IF(Budget!$J$32="", "", ROUND(Budget!$J$32,0))</f>
        <v/>
      </c>
      <c r="C58" s="278" t="s">
        <v>715</v>
      </c>
      <c r="D58" s="278" t="str">
        <f>IF(Budget!$A$32="","",VLOOKUP(Budget!$A$32,OmkostningsParticipantsTabel[#Data],2,FALSE))</f>
        <v/>
      </c>
      <c r="H58" s="277">
        <f>IF(ProjektStart &gt;  DATE(FirstYear+2, 12, 31),  DATE(FirstYear+2, 1, 1), MAX(ProjektStart,DATE(FirstYear+2, 1, 1)))</f>
        <v>44927</v>
      </c>
      <c r="I58" s="277">
        <f>IF(ProjektSlut &lt;  DATE(FirstYear+2, 1, 1),  DATE(FirstYear+2, 12, 31), MIN(ProjektSlut,DATE(FirstYear+2, 12, 31)))</f>
        <v>45291</v>
      </c>
      <c r="M58" s="278" t="b">
        <v>0</v>
      </c>
    </row>
    <row r="59" spans="1:13" x14ac:dyDescent="0.25">
      <c r="A59" s="278" t="str">
        <f>IF(Budget!$C$32="", "", INDEX(Partnere!$A$2:$A$12, MATCH(Budget!$C$32, Partnere!$F$2:$F$12, 0)))</f>
        <v/>
      </c>
      <c r="B59" s="279" t="str">
        <f>IF(Budget!$K$32="", "", ROUND(Budget!$K$32,0))</f>
        <v/>
      </c>
      <c r="C59" s="278" t="s">
        <v>715</v>
      </c>
      <c r="D59" s="278" t="str">
        <f>IF(Budget!$A$32="","",VLOOKUP(Budget!$A$32,OmkostningsParticipantsTabel[#Data],2,FALSE))</f>
        <v/>
      </c>
      <c r="H59" s="277">
        <f>IF(ProjektStart &gt;  DATE(FirstYear+3, 12, 31),  DATE(FirstYear+3, 1, 1), MAX(ProjektStart,DATE(FirstYear+3, 1, 1)))</f>
        <v>45292</v>
      </c>
      <c r="I59" s="277">
        <f>IF(ProjektSlut &lt;  DATE(FirstYear+3, 1, 1),  DATE(FirstYear+3, 12, 31), MIN(ProjektSlut,DATE(FirstYear+3, 12, 31)))</f>
        <v>45657</v>
      </c>
      <c r="M59" s="278" t="b">
        <v>0</v>
      </c>
    </row>
    <row r="60" spans="1:13" x14ac:dyDescent="0.25">
      <c r="A60" s="278" t="str">
        <f>IF(Budget!$C$32="", "", INDEX(Partnere!$A$2:$A$12, MATCH(Budget!$C$32, Partnere!$F$2:$F$12, 0)))</f>
        <v/>
      </c>
      <c r="B60" s="279" t="str">
        <f>IF(Budget!$L$32="", "", ROUND(Budget!$L$32,0))</f>
        <v/>
      </c>
      <c r="C60" s="278" t="s">
        <v>715</v>
      </c>
      <c r="D60" s="278" t="str">
        <f>IF(Budget!$A$32="","",VLOOKUP(Budget!$A$32,OmkostningsParticipantsTabel[#Data],2,FALSE))</f>
        <v/>
      </c>
      <c r="H60" s="277">
        <f>IF(ProjektStart &gt;  DATE(FirstYear+4, 12, 31),  DATE(FirstYear+4, 1, 1), MAX(ProjektStart,DATE(FirstYear+4, 1, 1)))</f>
        <v>45658</v>
      </c>
      <c r="I60" s="277">
        <f>IF(ProjektSlut &lt;  DATE(FirstYear+4, 1, 1),  DATE(FirstYear+4, 12, 31), MIN(ProjektSlut,DATE(FirstYear+4, 12, 31)))</f>
        <v>46022</v>
      </c>
      <c r="M60" s="278" t="b">
        <v>0</v>
      </c>
    </row>
    <row r="61" spans="1:13" x14ac:dyDescent="0.25">
      <c r="A61" s="278" t="str">
        <f>IF(Budget!$C$32="", "", INDEX(Partnere!$A$2:$A$12, MATCH(Budget!$C$32, Partnere!$F$2:$F$12, 0)))</f>
        <v/>
      </c>
      <c r="B61" s="279" t="str">
        <f>IF(Budget!$M$32="", "", ROUND(Budget!$M$32,0))</f>
        <v/>
      </c>
      <c r="C61" s="278" t="s">
        <v>715</v>
      </c>
      <c r="D61" s="278" t="str">
        <f>IF(Budget!$A$32="","",VLOOKUP(Budget!$A$32,OmkostningsParticipantsTabel[#Data],2,FALSE))</f>
        <v/>
      </c>
      <c r="H61" s="277">
        <f>IF(ProjektStart &gt;  DATE(FirstYear+5, 12, 31),  DATE(FirstYear+5, 1, 1), MAX(ProjektStart,DATE(FirstYear+5, 1, 1)))</f>
        <v>46023</v>
      </c>
      <c r="I61" s="277">
        <f>IF(ProjektSlut &lt;  DATE(FirstYear+5, 1, 1),  DATE(FirstYear+5, 12, 31), MIN(ProjektSlut,DATE(FirstYear+5, 12, 31)))</f>
        <v>46387</v>
      </c>
      <c r="M61" s="278" t="b">
        <v>0</v>
      </c>
    </row>
    <row r="62" spans="1:13" x14ac:dyDescent="0.25">
      <c r="A62" s="278" t="str">
        <f>IF(Budget!$C$32="", "", INDEX(Partnere!$A$2:$A$12, MATCH(Budget!$C$32, Partnere!$F$2:$F$12, 0)))</f>
        <v/>
      </c>
      <c r="B62" s="279" t="str">
        <f>IF(Budget!$N$32="", "", ROUND(Budget!$N$32,0))</f>
        <v/>
      </c>
      <c r="C62" s="278" t="s">
        <v>715</v>
      </c>
      <c r="D62" s="278" t="str">
        <f>IF(Budget!$A$32="","",VLOOKUP(Budget!$A$32,OmkostningsParticipantsTabel[#Data],2,FALSE))</f>
        <v/>
      </c>
      <c r="H62" s="277">
        <f>IF(ProjektStart &gt;  DATE(FirstYear+6, 12, 31),  DATE(FirstYear+6, 1, 1), MAX(ProjektStart,DATE(FirstYear+6, 1, 1)))</f>
        <v>46388</v>
      </c>
      <c r="I62" s="277">
        <f>IF(ProjektSlut &lt;  DATE(FirstYear+6, 1, 1),  DATE(FirstYear+6, 12, 31), MIN(ProjektSlut,DATE(FirstYear+6, 12, 31)))</f>
        <v>46752</v>
      </c>
      <c r="M62" s="278" t="b">
        <v>0</v>
      </c>
    </row>
    <row r="63" spans="1:13" x14ac:dyDescent="0.25">
      <c r="A63" s="278" t="str">
        <f>IF(Budget!$C$32="", "", INDEX(Partnere!$A$2:$A$12, MATCH(Budget!$C$32, Partnere!$F$2:$F$12, 0)))</f>
        <v/>
      </c>
      <c r="B63" s="279" t="str">
        <f>IF(Budget!$O$32="", "", ROUND(Budget!$O$32,0))</f>
        <v/>
      </c>
      <c r="C63" s="278" t="s">
        <v>715</v>
      </c>
      <c r="D63" s="278" t="str">
        <f>IF(Budget!$A$32="","",VLOOKUP(Budget!$A$32,OmkostningsParticipantsTabel[#Data],2,FALSE))</f>
        <v/>
      </c>
      <c r="H63" s="277">
        <f>IF(ProjektStart &gt;  DATE(FirstYear+7, 12, 31),  DATE(FirstYear+7, 1, 1), MAX(ProjektStart,DATE(FirstYear+7, 1, 1)))</f>
        <v>46753</v>
      </c>
      <c r="I63" s="277">
        <f>IF(ProjektSlut &lt;  DATE(FirstYear+7, 1, 1),  DATE(FirstYear+7, 12, 31), MIN(ProjektSlut,DATE(FirstYear+7, 12, 31)))</f>
        <v>47118</v>
      </c>
      <c r="M63" s="278" t="b">
        <v>0</v>
      </c>
    </row>
    <row r="64" spans="1:13" x14ac:dyDescent="0.25">
      <c r="A64" s="278" t="str">
        <f>IF(Budget!$C$32="", "", INDEX(Partnere!$A$2:$A$12, MATCH(Budget!$C$32, Partnere!$F$2:$F$12, 0)))</f>
        <v/>
      </c>
      <c r="B64" s="279" t="str">
        <f>IF(Budget!$P$32="", "", ROUND(Budget!$P$32,0))</f>
        <v/>
      </c>
      <c r="C64" s="278" t="s">
        <v>715</v>
      </c>
      <c r="D64" s="278" t="str">
        <f>IF(Budget!$A$32="","",VLOOKUP(Budget!$A$32,OmkostningsParticipantsTabel[#Data],2,FALSE))</f>
        <v/>
      </c>
      <c r="H64" s="277">
        <f>IF(ProjektStart &gt;  DATE(FirstYear+8, 12, 31),  DATE(FirstYear+8, 1, 1), MAX(ProjektStart,DATE(FirstYear+8, 1, 1)))</f>
        <v>47119</v>
      </c>
      <c r="I64" s="277">
        <f>IF(ProjektSlut &lt;  DATE(FirstYear+8, 1, 1),  DATE(FirstYear+8, 12, 31), MIN(ProjektSlut,DATE(FirstYear+8, 12, 31)))</f>
        <v>47483</v>
      </c>
      <c r="M64" s="278" t="b">
        <v>0</v>
      </c>
    </row>
    <row r="65" spans="1:13" x14ac:dyDescent="0.25">
      <c r="A65" s="278" t="str">
        <f>IF(Budget!$C$33="", "", INDEX(Partnere!$A$2:$A$12, MATCH(Budget!$C$33, Partnere!$F$2:$F$12, 0)))</f>
        <v/>
      </c>
      <c r="B65" s="279" t="str">
        <f>IF(Budget!$H$33="", "", ROUND(Budget!$H$33,0))</f>
        <v/>
      </c>
      <c r="C65" s="278" t="s">
        <v>715</v>
      </c>
      <c r="D65" s="278" t="str">
        <f>IF(Budget!$A$33="","",VLOOKUP(Budget!$A$33,OmkostningsParticipantsTabel[#Data],2,FALSE))</f>
        <v/>
      </c>
      <c r="H65" s="277">
        <f>IF(ProjektStart &gt;  DATE(FirstYear, 12, 31),  DATE(FirstYear, 1, 1), MAX(ProjektStart,DATE(FirstYear, 1, 1)))</f>
        <v>44197</v>
      </c>
      <c r="I65" s="277">
        <f>IF(ProjektSlut &lt;  DATE(FirstYear, 1, 1),  DATE(FirstYear, 12, 31), MIN(ProjektSlut,DATE(FirstYear, 12, 31)))</f>
        <v>44561</v>
      </c>
      <c r="M65" s="278" t="b">
        <v>0</v>
      </c>
    </row>
    <row r="66" spans="1:13" x14ac:dyDescent="0.25">
      <c r="A66" s="278" t="str">
        <f>IF(Budget!$C$33="", "", INDEX(Partnere!$A$2:$A$12, MATCH(Budget!$C$33, Partnere!$F$2:$F$12, 0)))</f>
        <v/>
      </c>
      <c r="B66" s="279" t="str">
        <f>IF(Budget!$I$33="", "", ROUND(Budget!$I$33,0))</f>
        <v/>
      </c>
      <c r="C66" s="278" t="s">
        <v>715</v>
      </c>
      <c r="D66" s="278" t="str">
        <f>IF(Budget!$A$33="","",VLOOKUP(Budget!$A$33,OmkostningsParticipantsTabel[#Data],2,FALSE))</f>
        <v/>
      </c>
      <c r="H66" s="277">
        <f>IF(ProjektStart &gt;  DATE(FirstYear+1, 12, 31),  DATE(FirstYear+1, 1, 1), MAX(ProjektStart,DATE(FirstYear+1, 1, 1)))</f>
        <v>44562</v>
      </c>
      <c r="I66" s="277">
        <f>IF(ProjektSlut &lt;  DATE(FirstYear+1, 1, 1),  DATE(FirstYear+1, 12, 31), MIN(ProjektSlut,DATE(FirstYear+1, 12, 31)))</f>
        <v>44926</v>
      </c>
      <c r="M66" s="278" t="b">
        <v>0</v>
      </c>
    </row>
    <row r="67" spans="1:13" x14ac:dyDescent="0.25">
      <c r="A67" s="278" t="str">
        <f>IF(Budget!$C$33="", "", INDEX(Partnere!$A$2:$A$12, MATCH(Budget!$C$33, Partnere!$F$2:$F$12, 0)))</f>
        <v/>
      </c>
      <c r="B67" s="279" t="str">
        <f>IF(Budget!$J$33="", "", ROUND(Budget!$J$33,0))</f>
        <v/>
      </c>
      <c r="C67" s="278" t="s">
        <v>715</v>
      </c>
      <c r="D67" s="278" t="str">
        <f>IF(Budget!$A$33="","",VLOOKUP(Budget!$A$33,OmkostningsParticipantsTabel[#Data],2,FALSE))</f>
        <v/>
      </c>
      <c r="H67" s="277">
        <f>IF(ProjektStart &gt;  DATE(FirstYear+2, 12, 31),  DATE(FirstYear+2, 1, 1), MAX(ProjektStart,DATE(FirstYear+2, 1, 1)))</f>
        <v>44927</v>
      </c>
      <c r="I67" s="277">
        <f>IF(ProjektSlut &lt;  DATE(FirstYear+2, 1, 1),  DATE(FirstYear+2, 12, 31), MIN(ProjektSlut,DATE(FirstYear+2, 12, 31)))</f>
        <v>45291</v>
      </c>
      <c r="M67" s="278" t="b">
        <v>0</v>
      </c>
    </row>
    <row r="68" spans="1:13" x14ac:dyDescent="0.25">
      <c r="A68" s="278" t="str">
        <f>IF(Budget!$C$33="", "", INDEX(Partnere!$A$2:$A$12, MATCH(Budget!$C$33, Partnere!$F$2:$F$12, 0)))</f>
        <v/>
      </c>
      <c r="B68" s="279" t="str">
        <f>IF(Budget!$K$33="", "", ROUND(Budget!$K$33,0))</f>
        <v/>
      </c>
      <c r="C68" s="278" t="s">
        <v>715</v>
      </c>
      <c r="D68" s="278" t="str">
        <f>IF(Budget!$A$33="","",VLOOKUP(Budget!$A$33,OmkostningsParticipantsTabel[#Data],2,FALSE))</f>
        <v/>
      </c>
      <c r="H68" s="277">
        <f>IF(ProjektStart &gt;  DATE(FirstYear+3, 12, 31),  DATE(FirstYear+3, 1, 1), MAX(ProjektStart,DATE(FirstYear+3, 1, 1)))</f>
        <v>45292</v>
      </c>
      <c r="I68" s="277">
        <f>IF(ProjektSlut &lt;  DATE(FirstYear+3, 1, 1),  DATE(FirstYear+3, 12, 31), MIN(ProjektSlut,DATE(FirstYear+3, 12, 31)))</f>
        <v>45657</v>
      </c>
      <c r="M68" s="278" t="b">
        <v>0</v>
      </c>
    </row>
    <row r="69" spans="1:13" x14ac:dyDescent="0.25">
      <c r="A69" s="278" t="str">
        <f>IF(Budget!$C$33="", "", INDEX(Partnere!$A$2:$A$12, MATCH(Budget!$C$33, Partnere!$F$2:$F$12, 0)))</f>
        <v/>
      </c>
      <c r="B69" s="279" t="str">
        <f>IF(Budget!$L$33="", "", ROUND(Budget!$L$33,0))</f>
        <v/>
      </c>
      <c r="C69" s="278" t="s">
        <v>715</v>
      </c>
      <c r="D69" s="278" t="str">
        <f>IF(Budget!$A$33="","",VLOOKUP(Budget!$A$33,OmkostningsParticipantsTabel[#Data],2,FALSE))</f>
        <v/>
      </c>
      <c r="H69" s="277">
        <f>IF(ProjektStart &gt;  DATE(FirstYear+4, 12, 31),  DATE(FirstYear+4, 1, 1), MAX(ProjektStart,DATE(FirstYear+4, 1, 1)))</f>
        <v>45658</v>
      </c>
      <c r="I69" s="277">
        <f>IF(ProjektSlut &lt;  DATE(FirstYear+4, 1, 1),  DATE(FirstYear+4, 12, 31), MIN(ProjektSlut,DATE(FirstYear+4, 12, 31)))</f>
        <v>46022</v>
      </c>
      <c r="M69" s="278" t="b">
        <v>0</v>
      </c>
    </row>
    <row r="70" spans="1:13" x14ac:dyDescent="0.25">
      <c r="A70" s="278" t="str">
        <f>IF(Budget!$C$33="", "", INDEX(Partnere!$A$2:$A$12, MATCH(Budget!$C$33, Partnere!$F$2:$F$12, 0)))</f>
        <v/>
      </c>
      <c r="B70" s="279" t="str">
        <f>IF(Budget!$M$33="", "", ROUND(Budget!$M$33,0))</f>
        <v/>
      </c>
      <c r="C70" s="278" t="s">
        <v>715</v>
      </c>
      <c r="D70" s="278" t="str">
        <f>IF(Budget!$A$33="","",VLOOKUP(Budget!$A$33,OmkostningsParticipantsTabel[#Data],2,FALSE))</f>
        <v/>
      </c>
      <c r="H70" s="277">
        <f>IF(ProjektStart &gt;  DATE(FirstYear+5, 12, 31),  DATE(FirstYear+5, 1, 1), MAX(ProjektStart,DATE(FirstYear+5, 1, 1)))</f>
        <v>46023</v>
      </c>
      <c r="I70" s="277">
        <f>IF(ProjektSlut &lt;  DATE(FirstYear+5, 1, 1),  DATE(FirstYear+5, 12, 31), MIN(ProjektSlut,DATE(FirstYear+5, 12, 31)))</f>
        <v>46387</v>
      </c>
      <c r="M70" s="278" t="b">
        <v>0</v>
      </c>
    </row>
    <row r="71" spans="1:13" x14ac:dyDescent="0.25">
      <c r="A71" s="278" t="str">
        <f>IF(Budget!$C$33="", "", INDEX(Partnere!$A$2:$A$12, MATCH(Budget!$C$33, Partnere!$F$2:$F$12, 0)))</f>
        <v/>
      </c>
      <c r="B71" s="279" t="str">
        <f>IF(Budget!$N$33="", "", ROUND(Budget!$N$33,0))</f>
        <v/>
      </c>
      <c r="C71" s="278" t="s">
        <v>715</v>
      </c>
      <c r="D71" s="278" t="str">
        <f>IF(Budget!$A$33="","",VLOOKUP(Budget!$A$33,OmkostningsParticipantsTabel[#Data],2,FALSE))</f>
        <v/>
      </c>
      <c r="H71" s="277">
        <f>IF(ProjektStart &gt;  DATE(FirstYear+6, 12, 31),  DATE(FirstYear+6, 1, 1), MAX(ProjektStart,DATE(FirstYear+6, 1, 1)))</f>
        <v>46388</v>
      </c>
      <c r="I71" s="277">
        <f>IF(ProjektSlut &lt;  DATE(FirstYear+6, 1, 1),  DATE(FirstYear+6, 12, 31), MIN(ProjektSlut,DATE(FirstYear+6, 12, 31)))</f>
        <v>46752</v>
      </c>
      <c r="M71" s="278" t="b">
        <v>0</v>
      </c>
    </row>
    <row r="72" spans="1:13" x14ac:dyDescent="0.25">
      <c r="A72" s="278" t="str">
        <f>IF(Budget!$C$33="", "", INDEX(Partnere!$A$2:$A$12, MATCH(Budget!$C$33, Partnere!$F$2:$F$12, 0)))</f>
        <v/>
      </c>
      <c r="B72" s="279" t="str">
        <f>IF(Budget!$O$33="", "", ROUND(Budget!$O$33,0))</f>
        <v/>
      </c>
      <c r="C72" s="278" t="s">
        <v>715</v>
      </c>
      <c r="D72" s="278" t="str">
        <f>IF(Budget!$A$33="","",VLOOKUP(Budget!$A$33,OmkostningsParticipantsTabel[#Data],2,FALSE))</f>
        <v/>
      </c>
      <c r="H72" s="277">
        <f>IF(ProjektStart &gt;  DATE(FirstYear+7, 12, 31),  DATE(FirstYear+7, 1, 1), MAX(ProjektStart,DATE(FirstYear+7, 1, 1)))</f>
        <v>46753</v>
      </c>
      <c r="I72" s="277">
        <f>IF(ProjektSlut &lt;  DATE(FirstYear+7, 1, 1),  DATE(FirstYear+7, 12, 31), MIN(ProjektSlut,DATE(FirstYear+7, 12, 31)))</f>
        <v>47118</v>
      </c>
      <c r="M72" s="278" t="b">
        <v>0</v>
      </c>
    </row>
    <row r="73" spans="1:13" x14ac:dyDescent="0.25">
      <c r="A73" s="278" t="str">
        <f>IF(Budget!$C$33="", "", INDEX(Partnere!$A$2:$A$12, MATCH(Budget!$C$33, Partnere!$F$2:$F$12, 0)))</f>
        <v/>
      </c>
      <c r="B73" s="279" t="str">
        <f>IF(Budget!$P$33="", "", ROUND(Budget!$P$33,0))</f>
        <v/>
      </c>
      <c r="C73" s="278" t="s">
        <v>715</v>
      </c>
      <c r="D73" s="278" t="str">
        <f>IF(Budget!$A$33="","",VLOOKUP(Budget!$A$33,OmkostningsParticipantsTabel[#Data],2,FALSE))</f>
        <v/>
      </c>
      <c r="H73" s="277">
        <f>IF(ProjektStart &gt;  DATE(FirstYear+8, 12, 31),  DATE(FirstYear+8, 1, 1), MAX(ProjektStart,DATE(FirstYear+8, 1, 1)))</f>
        <v>47119</v>
      </c>
      <c r="I73" s="277">
        <f>IF(ProjektSlut &lt;  DATE(FirstYear+8, 1, 1),  DATE(FirstYear+8, 12, 31), MIN(ProjektSlut,DATE(FirstYear+8, 12, 31)))</f>
        <v>47483</v>
      </c>
      <c r="M73" s="278" t="b">
        <v>0</v>
      </c>
    </row>
    <row r="74" spans="1:13" x14ac:dyDescent="0.25">
      <c r="A74" s="278" t="str">
        <f>IF(Budget!$C$34="", "", INDEX(Partnere!$A$2:$A$12, MATCH(Budget!$C$34, Partnere!$F$2:$F$12, 0)))</f>
        <v/>
      </c>
      <c r="B74" s="279" t="str">
        <f>IF(Budget!$H$34="", "", ROUND(Budget!$H$34,0))</f>
        <v/>
      </c>
      <c r="C74" s="278" t="s">
        <v>715</v>
      </c>
      <c r="D74" s="278" t="str">
        <f>IF(Budget!$A$34="","",VLOOKUP(Budget!$A$34,OmkostningsParticipantsTabel[#Data],2,FALSE))</f>
        <v/>
      </c>
      <c r="H74" s="277">
        <f>IF(ProjektStart &gt;  DATE(FirstYear, 12, 31),  DATE(FirstYear, 1, 1), MAX(ProjektStart,DATE(FirstYear, 1, 1)))</f>
        <v>44197</v>
      </c>
      <c r="I74" s="277">
        <f>IF(ProjektSlut &lt;  DATE(FirstYear, 1, 1),  DATE(FirstYear, 12, 31), MIN(ProjektSlut,DATE(FirstYear, 12, 31)))</f>
        <v>44561</v>
      </c>
      <c r="M74" s="278" t="b">
        <v>0</v>
      </c>
    </row>
    <row r="75" spans="1:13" x14ac:dyDescent="0.25">
      <c r="A75" s="278" t="str">
        <f>IF(Budget!$C$34="", "", INDEX(Partnere!$A$2:$A$12, MATCH(Budget!$C$34, Partnere!$F$2:$F$12, 0)))</f>
        <v/>
      </c>
      <c r="B75" s="279" t="str">
        <f>IF(Budget!$I$34="", "", ROUND(Budget!$I$34,0))</f>
        <v/>
      </c>
      <c r="C75" s="278" t="s">
        <v>715</v>
      </c>
      <c r="D75" s="278" t="str">
        <f>IF(Budget!$A$34="","",VLOOKUP(Budget!$A$34,OmkostningsParticipantsTabel[#Data],2,FALSE))</f>
        <v/>
      </c>
      <c r="H75" s="277">
        <f>IF(ProjektStart &gt;  DATE(FirstYear+1, 12, 31),  DATE(FirstYear+1, 1, 1), MAX(ProjektStart,DATE(FirstYear+1, 1, 1)))</f>
        <v>44562</v>
      </c>
      <c r="I75" s="277">
        <f>IF(ProjektSlut &lt;  DATE(FirstYear+1, 1, 1),  DATE(FirstYear+1, 12, 31), MIN(ProjektSlut,DATE(FirstYear+1, 12, 31)))</f>
        <v>44926</v>
      </c>
      <c r="M75" s="278" t="b">
        <v>0</v>
      </c>
    </row>
    <row r="76" spans="1:13" x14ac:dyDescent="0.25">
      <c r="A76" s="278" t="str">
        <f>IF(Budget!$C$34="", "", INDEX(Partnere!$A$2:$A$12, MATCH(Budget!$C$34, Partnere!$F$2:$F$12, 0)))</f>
        <v/>
      </c>
      <c r="B76" s="279" t="str">
        <f>IF(Budget!$J$34="", "", ROUND(Budget!$J$34,0))</f>
        <v/>
      </c>
      <c r="C76" s="278" t="s">
        <v>715</v>
      </c>
      <c r="D76" s="278" t="str">
        <f>IF(Budget!$A$34="","",VLOOKUP(Budget!$A$34,OmkostningsParticipantsTabel[#Data],2,FALSE))</f>
        <v/>
      </c>
      <c r="H76" s="277">
        <f>IF(ProjektStart &gt;  DATE(FirstYear+2, 12, 31),  DATE(FirstYear+2, 1, 1), MAX(ProjektStart,DATE(FirstYear+2, 1, 1)))</f>
        <v>44927</v>
      </c>
      <c r="I76" s="277">
        <f>IF(ProjektSlut &lt;  DATE(FirstYear+2, 1, 1),  DATE(FirstYear+2, 12, 31), MIN(ProjektSlut,DATE(FirstYear+2, 12, 31)))</f>
        <v>45291</v>
      </c>
      <c r="M76" s="278" t="b">
        <v>0</v>
      </c>
    </row>
    <row r="77" spans="1:13" x14ac:dyDescent="0.25">
      <c r="A77" s="278" t="str">
        <f>IF(Budget!$C$34="", "", INDEX(Partnere!$A$2:$A$12, MATCH(Budget!$C$34, Partnere!$F$2:$F$12, 0)))</f>
        <v/>
      </c>
      <c r="B77" s="279" t="str">
        <f>IF(Budget!$K$34="", "", ROUND(Budget!$K$34,0))</f>
        <v/>
      </c>
      <c r="C77" s="278" t="s">
        <v>715</v>
      </c>
      <c r="D77" s="278" t="str">
        <f>IF(Budget!$A$34="","",VLOOKUP(Budget!$A$34,OmkostningsParticipantsTabel[#Data],2,FALSE))</f>
        <v/>
      </c>
      <c r="H77" s="277">
        <f>IF(ProjektStart &gt;  DATE(FirstYear+3, 12, 31),  DATE(FirstYear+3, 1, 1), MAX(ProjektStart,DATE(FirstYear+3, 1, 1)))</f>
        <v>45292</v>
      </c>
      <c r="I77" s="277">
        <f>IF(ProjektSlut &lt;  DATE(FirstYear+3, 1, 1),  DATE(FirstYear+3, 12, 31), MIN(ProjektSlut,DATE(FirstYear+3, 12, 31)))</f>
        <v>45657</v>
      </c>
      <c r="M77" s="278" t="b">
        <v>0</v>
      </c>
    </row>
    <row r="78" spans="1:13" x14ac:dyDescent="0.25">
      <c r="A78" s="278" t="str">
        <f>IF(Budget!$C$34="", "", INDEX(Partnere!$A$2:$A$12, MATCH(Budget!$C$34, Partnere!$F$2:$F$12, 0)))</f>
        <v/>
      </c>
      <c r="B78" s="279" t="str">
        <f>IF(Budget!$L$34="", "", ROUND(Budget!$L$34,0))</f>
        <v/>
      </c>
      <c r="C78" s="278" t="s">
        <v>715</v>
      </c>
      <c r="D78" s="278" t="str">
        <f>IF(Budget!$A$34="","",VLOOKUP(Budget!$A$34,OmkostningsParticipantsTabel[#Data],2,FALSE))</f>
        <v/>
      </c>
      <c r="H78" s="277">
        <f>IF(ProjektStart &gt;  DATE(FirstYear+4, 12, 31),  DATE(FirstYear+4, 1, 1), MAX(ProjektStart,DATE(FirstYear+4, 1, 1)))</f>
        <v>45658</v>
      </c>
      <c r="I78" s="277">
        <f>IF(ProjektSlut &lt;  DATE(FirstYear+4, 1, 1),  DATE(FirstYear+4, 12, 31), MIN(ProjektSlut,DATE(FirstYear+4, 12, 31)))</f>
        <v>46022</v>
      </c>
      <c r="M78" s="278" t="b">
        <v>0</v>
      </c>
    </row>
    <row r="79" spans="1:13" x14ac:dyDescent="0.25">
      <c r="A79" s="278" t="str">
        <f>IF(Budget!$C$34="", "", INDEX(Partnere!$A$2:$A$12, MATCH(Budget!$C$34, Partnere!$F$2:$F$12, 0)))</f>
        <v/>
      </c>
      <c r="B79" s="279" t="str">
        <f>IF(Budget!$M$34="", "", ROUND(Budget!$M$34,0))</f>
        <v/>
      </c>
      <c r="C79" s="278" t="s">
        <v>715</v>
      </c>
      <c r="D79" s="278" t="str">
        <f>IF(Budget!$A$34="","",VLOOKUP(Budget!$A$34,OmkostningsParticipantsTabel[#Data],2,FALSE))</f>
        <v/>
      </c>
      <c r="H79" s="277">
        <f>IF(ProjektStart &gt;  DATE(FirstYear+5, 12, 31),  DATE(FirstYear+5, 1, 1), MAX(ProjektStart,DATE(FirstYear+5, 1, 1)))</f>
        <v>46023</v>
      </c>
      <c r="I79" s="277">
        <f>IF(ProjektSlut &lt;  DATE(FirstYear+5, 1, 1),  DATE(FirstYear+5, 12, 31), MIN(ProjektSlut,DATE(FirstYear+5, 12, 31)))</f>
        <v>46387</v>
      </c>
      <c r="M79" s="278" t="b">
        <v>0</v>
      </c>
    </row>
    <row r="80" spans="1:13" x14ac:dyDescent="0.25">
      <c r="A80" s="278" t="str">
        <f>IF(Budget!$C$34="", "", INDEX(Partnere!$A$2:$A$12, MATCH(Budget!$C$34, Partnere!$F$2:$F$12, 0)))</f>
        <v/>
      </c>
      <c r="B80" s="279" t="str">
        <f>IF(Budget!$N$34="", "", ROUND(Budget!$N$34,0))</f>
        <v/>
      </c>
      <c r="C80" s="278" t="s">
        <v>715</v>
      </c>
      <c r="D80" s="278" t="str">
        <f>IF(Budget!$A$34="","",VLOOKUP(Budget!$A$34,OmkostningsParticipantsTabel[#Data],2,FALSE))</f>
        <v/>
      </c>
      <c r="H80" s="277">
        <f>IF(ProjektStart &gt;  DATE(FirstYear+6, 12, 31),  DATE(FirstYear+6, 1, 1), MAX(ProjektStart,DATE(FirstYear+6, 1, 1)))</f>
        <v>46388</v>
      </c>
      <c r="I80" s="277">
        <f>IF(ProjektSlut &lt;  DATE(FirstYear+6, 1, 1),  DATE(FirstYear+6, 12, 31), MIN(ProjektSlut,DATE(FirstYear+6, 12, 31)))</f>
        <v>46752</v>
      </c>
      <c r="M80" s="278" t="b">
        <v>0</v>
      </c>
    </row>
    <row r="81" spans="1:13" x14ac:dyDescent="0.25">
      <c r="A81" s="278" t="str">
        <f>IF(Budget!$C$34="", "", INDEX(Partnere!$A$2:$A$12, MATCH(Budget!$C$34, Partnere!$F$2:$F$12, 0)))</f>
        <v/>
      </c>
      <c r="B81" s="279" t="str">
        <f>IF(Budget!$O$34="", "", ROUND(Budget!$O$34,0))</f>
        <v/>
      </c>
      <c r="C81" s="278" t="s">
        <v>715</v>
      </c>
      <c r="D81" s="278" t="str">
        <f>IF(Budget!$A$34="","",VLOOKUP(Budget!$A$34,OmkostningsParticipantsTabel[#Data],2,FALSE))</f>
        <v/>
      </c>
      <c r="H81" s="277">
        <f>IF(ProjektStart &gt;  DATE(FirstYear+7, 12, 31),  DATE(FirstYear+7, 1, 1), MAX(ProjektStart,DATE(FirstYear+7, 1, 1)))</f>
        <v>46753</v>
      </c>
      <c r="I81" s="277">
        <f>IF(ProjektSlut &lt;  DATE(FirstYear+7, 1, 1),  DATE(FirstYear+7, 12, 31), MIN(ProjektSlut,DATE(FirstYear+7, 12, 31)))</f>
        <v>47118</v>
      </c>
      <c r="M81" s="278" t="b">
        <v>0</v>
      </c>
    </row>
    <row r="82" spans="1:13" x14ac:dyDescent="0.25">
      <c r="A82" s="278" t="str">
        <f>IF(Budget!$C$34="", "", INDEX(Partnere!$A$2:$A$12, MATCH(Budget!$C$34, Partnere!$F$2:$F$12, 0)))</f>
        <v/>
      </c>
      <c r="B82" s="279" t="str">
        <f>IF(Budget!$P$34="", "", ROUND(Budget!$P$34,0))</f>
        <v/>
      </c>
      <c r="C82" s="278" t="s">
        <v>715</v>
      </c>
      <c r="D82" s="278" t="str">
        <f>IF(Budget!$A$34="","",VLOOKUP(Budget!$A$34,OmkostningsParticipantsTabel[#Data],2,FALSE))</f>
        <v/>
      </c>
      <c r="H82" s="277">
        <f>IF(ProjektStart &gt;  DATE(FirstYear+8, 12, 31),  DATE(FirstYear+8, 1, 1), MAX(ProjektStart,DATE(FirstYear+8, 1, 1)))</f>
        <v>47119</v>
      </c>
      <c r="I82" s="277">
        <f>IF(ProjektSlut &lt;  DATE(FirstYear+8, 1, 1),  DATE(FirstYear+8, 12, 31), MIN(ProjektSlut,DATE(FirstYear+8, 12, 31)))</f>
        <v>47483</v>
      </c>
      <c r="M82" s="278" t="b">
        <v>0</v>
      </c>
    </row>
    <row r="83" spans="1:13" x14ac:dyDescent="0.25">
      <c r="A83" s="278" t="str">
        <f>IF(Budget!$C$35="", "", INDEX(Partnere!$A$2:$A$12, MATCH(Budget!$C$35, Partnere!$F$2:$F$12, 0)))</f>
        <v/>
      </c>
      <c r="B83" s="279" t="str">
        <f>IF(Budget!$H$35="", "", ROUND(Budget!$H$35,0))</f>
        <v/>
      </c>
      <c r="C83" s="278" t="s">
        <v>715</v>
      </c>
      <c r="D83" s="278" t="str">
        <f>IF(Budget!$A$35="","",VLOOKUP(Budget!$A$35,OmkostningsParticipantsTabel[#Data],2,FALSE))</f>
        <v/>
      </c>
      <c r="H83" s="277">
        <f>IF(ProjektStart &gt;  DATE(FirstYear, 12, 31),  DATE(FirstYear, 1, 1), MAX(ProjektStart,DATE(FirstYear, 1, 1)))</f>
        <v>44197</v>
      </c>
      <c r="I83" s="277">
        <f>IF(ProjektSlut &lt;  DATE(FirstYear, 1, 1),  DATE(FirstYear, 12, 31), MIN(ProjektSlut,DATE(FirstYear, 12, 31)))</f>
        <v>44561</v>
      </c>
      <c r="M83" s="278" t="b">
        <v>0</v>
      </c>
    </row>
    <row r="84" spans="1:13" x14ac:dyDescent="0.25">
      <c r="A84" s="278" t="str">
        <f>IF(Budget!$C$35="", "", INDEX(Partnere!$A$2:$A$12, MATCH(Budget!$C$35, Partnere!$F$2:$F$12, 0)))</f>
        <v/>
      </c>
      <c r="B84" s="279" t="str">
        <f>IF(Budget!$I$35="", "", ROUND(Budget!$I$35,0))</f>
        <v/>
      </c>
      <c r="C84" s="278" t="s">
        <v>715</v>
      </c>
      <c r="D84" s="278" t="str">
        <f>IF(Budget!$A$35="","",VLOOKUP(Budget!$A$35,OmkostningsParticipantsTabel[#Data],2,FALSE))</f>
        <v/>
      </c>
      <c r="H84" s="277">
        <f>IF(ProjektStart &gt;  DATE(FirstYear+1, 12, 31),  DATE(FirstYear+1, 1, 1), MAX(ProjektStart,DATE(FirstYear+1, 1, 1)))</f>
        <v>44562</v>
      </c>
      <c r="I84" s="277">
        <f>IF(ProjektSlut &lt;  DATE(FirstYear+1, 1, 1),  DATE(FirstYear+1, 12, 31), MIN(ProjektSlut,DATE(FirstYear+1, 12, 31)))</f>
        <v>44926</v>
      </c>
      <c r="M84" s="278" t="b">
        <v>0</v>
      </c>
    </row>
    <row r="85" spans="1:13" x14ac:dyDescent="0.25">
      <c r="A85" s="278" t="str">
        <f>IF(Budget!$C$35="", "", INDEX(Partnere!$A$2:$A$12, MATCH(Budget!$C$35, Partnere!$F$2:$F$12, 0)))</f>
        <v/>
      </c>
      <c r="B85" s="279" t="str">
        <f>IF(Budget!$J$35="", "", ROUND(Budget!$J$35,0))</f>
        <v/>
      </c>
      <c r="C85" s="278" t="s">
        <v>715</v>
      </c>
      <c r="D85" s="278" t="str">
        <f>IF(Budget!$A$35="","",VLOOKUP(Budget!$A$35,OmkostningsParticipantsTabel[#Data],2,FALSE))</f>
        <v/>
      </c>
      <c r="H85" s="277">
        <f>IF(ProjektStart &gt;  DATE(FirstYear+2, 12, 31),  DATE(FirstYear+2, 1, 1), MAX(ProjektStart,DATE(FirstYear+2, 1, 1)))</f>
        <v>44927</v>
      </c>
      <c r="I85" s="277">
        <f>IF(ProjektSlut &lt;  DATE(FirstYear+2, 1, 1),  DATE(FirstYear+2, 12, 31), MIN(ProjektSlut,DATE(FirstYear+2, 12, 31)))</f>
        <v>45291</v>
      </c>
      <c r="M85" s="278" t="b">
        <v>0</v>
      </c>
    </row>
    <row r="86" spans="1:13" x14ac:dyDescent="0.25">
      <c r="A86" s="278" t="str">
        <f>IF(Budget!$C$35="", "", INDEX(Partnere!$A$2:$A$12, MATCH(Budget!$C$35, Partnere!$F$2:$F$12, 0)))</f>
        <v/>
      </c>
      <c r="B86" s="279" t="str">
        <f>IF(Budget!$K$35="", "", ROUND(Budget!$K$35,0))</f>
        <v/>
      </c>
      <c r="C86" s="278" t="s">
        <v>715</v>
      </c>
      <c r="D86" s="278" t="str">
        <f>IF(Budget!$A$35="","",VLOOKUP(Budget!$A$35,OmkostningsParticipantsTabel[#Data],2,FALSE))</f>
        <v/>
      </c>
      <c r="H86" s="277">
        <f>IF(ProjektStart &gt;  DATE(FirstYear+3, 12, 31),  DATE(FirstYear+3, 1, 1), MAX(ProjektStart,DATE(FirstYear+3, 1, 1)))</f>
        <v>45292</v>
      </c>
      <c r="I86" s="277">
        <f>IF(ProjektSlut &lt;  DATE(FirstYear+3, 1, 1),  DATE(FirstYear+3, 12, 31), MIN(ProjektSlut,DATE(FirstYear+3, 12, 31)))</f>
        <v>45657</v>
      </c>
      <c r="M86" s="278" t="b">
        <v>0</v>
      </c>
    </row>
    <row r="87" spans="1:13" x14ac:dyDescent="0.25">
      <c r="A87" s="278" t="str">
        <f>IF(Budget!$C$35="", "", INDEX(Partnere!$A$2:$A$12, MATCH(Budget!$C$35, Partnere!$F$2:$F$12, 0)))</f>
        <v/>
      </c>
      <c r="B87" s="279" t="str">
        <f>IF(Budget!$L$35="", "", ROUND(Budget!$L$35,0))</f>
        <v/>
      </c>
      <c r="C87" s="278" t="s">
        <v>715</v>
      </c>
      <c r="D87" s="278" t="str">
        <f>IF(Budget!$A$35="","",VLOOKUP(Budget!$A$35,OmkostningsParticipantsTabel[#Data],2,FALSE))</f>
        <v/>
      </c>
      <c r="H87" s="277">
        <f>IF(ProjektStart &gt;  DATE(FirstYear+4, 12, 31),  DATE(FirstYear+4, 1, 1), MAX(ProjektStart,DATE(FirstYear+4, 1, 1)))</f>
        <v>45658</v>
      </c>
      <c r="I87" s="277">
        <f>IF(ProjektSlut &lt;  DATE(FirstYear+4, 1, 1),  DATE(FirstYear+4, 12, 31), MIN(ProjektSlut,DATE(FirstYear+4, 12, 31)))</f>
        <v>46022</v>
      </c>
      <c r="M87" s="278" t="b">
        <v>0</v>
      </c>
    </row>
    <row r="88" spans="1:13" x14ac:dyDescent="0.25">
      <c r="A88" s="278" t="str">
        <f>IF(Budget!$C$35="", "", INDEX(Partnere!$A$2:$A$12, MATCH(Budget!$C$35, Partnere!$F$2:$F$12, 0)))</f>
        <v/>
      </c>
      <c r="B88" s="279" t="str">
        <f>IF(Budget!$M$35="", "", ROUND(Budget!$M$35,0))</f>
        <v/>
      </c>
      <c r="C88" s="278" t="s">
        <v>715</v>
      </c>
      <c r="D88" s="278" t="str">
        <f>IF(Budget!$A$35="","",VLOOKUP(Budget!$A$35,OmkostningsParticipantsTabel[#Data],2,FALSE))</f>
        <v/>
      </c>
      <c r="H88" s="277">
        <f>IF(ProjektStart &gt;  DATE(FirstYear+5, 12, 31),  DATE(FirstYear+5, 1, 1), MAX(ProjektStart,DATE(FirstYear+5, 1, 1)))</f>
        <v>46023</v>
      </c>
      <c r="I88" s="277">
        <f>IF(ProjektSlut &lt;  DATE(FirstYear+5, 1, 1),  DATE(FirstYear+5, 12, 31), MIN(ProjektSlut,DATE(FirstYear+5, 12, 31)))</f>
        <v>46387</v>
      </c>
      <c r="M88" s="278" t="b">
        <v>0</v>
      </c>
    </row>
    <row r="89" spans="1:13" x14ac:dyDescent="0.25">
      <c r="A89" s="278" t="str">
        <f>IF(Budget!$C$35="", "", INDEX(Partnere!$A$2:$A$12, MATCH(Budget!$C$35, Partnere!$F$2:$F$12, 0)))</f>
        <v/>
      </c>
      <c r="B89" s="279" t="str">
        <f>IF(Budget!$N$35="", "", ROUND(Budget!$N$35,0))</f>
        <v/>
      </c>
      <c r="C89" s="278" t="s">
        <v>715</v>
      </c>
      <c r="D89" s="278" t="str">
        <f>IF(Budget!$A$35="","",VLOOKUP(Budget!$A$35,OmkostningsParticipantsTabel[#Data],2,FALSE))</f>
        <v/>
      </c>
      <c r="H89" s="277">
        <f>IF(ProjektStart &gt;  DATE(FirstYear+6, 12, 31),  DATE(FirstYear+6, 1, 1), MAX(ProjektStart,DATE(FirstYear+6, 1, 1)))</f>
        <v>46388</v>
      </c>
      <c r="I89" s="277">
        <f>IF(ProjektSlut &lt;  DATE(FirstYear+6, 1, 1),  DATE(FirstYear+6, 12, 31), MIN(ProjektSlut,DATE(FirstYear+6, 12, 31)))</f>
        <v>46752</v>
      </c>
      <c r="M89" s="278" t="b">
        <v>0</v>
      </c>
    </row>
    <row r="90" spans="1:13" x14ac:dyDescent="0.25">
      <c r="A90" s="278" t="str">
        <f>IF(Budget!$C$35="", "", INDEX(Partnere!$A$2:$A$12, MATCH(Budget!$C$35, Partnere!$F$2:$F$12, 0)))</f>
        <v/>
      </c>
      <c r="B90" s="279" t="str">
        <f>IF(Budget!$O$35="", "", ROUND(Budget!$O$35,0))</f>
        <v/>
      </c>
      <c r="C90" s="278" t="s">
        <v>715</v>
      </c>
      <c r="D90" s="278" t="str">
        <f>IF(Budget!$A$35="","",VLOOKUP(Budget!$A$35,OmkostningsParticipantsTabel[#Data],2,FALSE))</f>
        <v/>
      </c>
      <c r="H90" s="277">
        <f>IF(ProjektStart &gt;  DATE(FirstYear+7, 12, 31),  DATE(FirstYear+7, 1, 1), MAX(ProjektStart,DATE(FirstYear+7, 1, 1)))</f>
        <v>46753</v>
      </c>
      <c r="I90" s="277">
        <f>IF(ProjektSlut &lt;  DATE(FirstYear+7, 1, 1),  DATE(FirstYear+7, 12, 31), MIN(ProjektSlut,DATE(FirstYear+7, 12, 31)))</f>
        <v>47118</v>
      </c>
      <c r="M90" s="278" t="b">
        <v>0</v>
      </c>
    </row>
    <row r="91" spans="1:13" x14ac:dyDescent="0.25">
      <c r="A91" s="278" t="str">
        <f>IF(Budget!$C$35="", "", INDEX(Partnere!$A$2:$A$12, MATCH(Budget!$C$35, Partnere!$F$2:$F$12, 0)))</f>
        <v/>
      </c>
      <c r="B91" s="279" t="str">
        <f>IF(Budget!$P$35="", "", ROUND(Budget!$P$35,0))</f>
        <v/>
      </c>
      <c r="C91" s="278" t="s">
        <v>715</v>
      </c>
      <c r="D91" s="278" t="str">
        <f>IF(Budget!$A$35="","",VLOOKUP(Budget!$A$35,OmkostningsParticipantsTabel[#Data],2,FALSE))</f>
        <v/>
      </c>
      <c r="H91" s="277">
        <f>IF(ProjektStart &gt;  DATE(FirstYear+8, 12, 31),  DATE(FirstYear+8, 1, 1), MAX(ProjektStart,DATE(FirstYear+8, 1, 1)))</f>
        <v>47119</v>
      </c>
      <c r="I91" s="277">
        <f>IF(ProjektSlut &lt;  DATE(FirstYear+8, 1, 1),  DATE(FirstYear+8, 12, 31), MIN(ProjektSlut,DATE(FirstYear+8, 12, 31)))</f>
        <v>47483</v>
      </c>
      <c r="M91" s="278" t="b">
        <v>0</v>
      </c>
    </row>
    <row r="92" spans="1:13" x14ac:dyDescent="0.25">
      <c r="A92" s="278" t="str">
        <f>IF(Budget!$C$36="", "", INDEX(Partnere!$A$2:$A$12, MATCH(Budget!$C$36, Partnere!$F$2:$F$12, 0)))</f>
        <v/>
      </c>
      <c r="B92" s="279" t="str">
        <f>IF(Budget!$H$36="", "", ROUND(Budget!$H$36,0))</f>
        <v/>
      </c>
      <c r="C92" s="278" t="s">
        <v>715</v>
      </c>
      <c r="D92" s="278" t="str">
        <f>IF(Budget!$A$36="","",VLOOKUP(Budget!$A$36,OmkostningsParticipantsTabel[#Data],2,FALSE))</f>
        <v/>
      </c>
      <c r="H92" s="277">
        <f>IF(ProjektStart &gt;  DATE(FirstYear, 12, 31),  DATE(FirstYear, 1, 1), MAX(ProjektStart,DATE(FirstYear, 1, 1)))</f>
        <v>44197</v>
      </c>
      <c r="I92" s="277">
        <f>IF(ProjektSlut &lt;  DATE(FirstYear, 1, 1),  DATE(FirstYear, 12, 31), MIN(ProjektSlut,DATE(FirstYear, 12, 31)))</f>
        <v>44561</v>
      </c>
      <c r="M92" s="278" t="b">
        <v>0</v>
      </c>
    </row>
    <row r="93" spans="1:13" x14ac:dyDescent="0.25">
      <c r="A93" s="278" t="str">
        <f>IF(Budget!$C$36="", "", INDEX(Partnere!$A$2:$A$12, MATCH(Budget!$C$36, Partnere!$F$2:$F$12, 0)))</f>
        <v/>
      </c>
      <c r="B93" s="279" t="str">
        <f>IF(Budget!$I$36="", "", ROUND(Budget!$I$36,0))</f>
        <v/>
      </c>
      <c r="C93" s="278" t="s">
        <v>715</v>
      </c>
      <c r="D93" s="278" t="str">
        <f>IF(Budget!$A$36="","",VLOOKUP(Budget!$A$36,OmkostningsParticipantsTabel[#Data],2,FALSE))</f>
        <v/>
      </c>
      <c r="H93" s="277">
        <f>IF(ProjektStart &gt;  DATE(FirstYear+1, 12, 31),  DATE(FirstYear+1, 1, 1), MAX(ProjektStart,DATE(FirstYear+1, 1, 1)))</f>
        <v>44562</v>
      </c>
      <c r="I93" s="277">
        <f>IF(ProjektSlut &lt;  DATE(FirstYear+1, 1, 1),  DATE(FirstYear+1, 12, 31), MIN(ProjektSlut,DATE(FirstYear+1, 12, 31)))</f>
        <v>44926</v>
      </c>
      <c r="M93" s="278" t="b">
        <v>0</v>
      </c>
    </row>
    <row r="94" spans="1:13" x14ac:dyDescent="0.25">
      <c r="A94" s="278" t="str">
        <f>IF(Budget!$C$36="", "", INDEX(Partnere!$A$2:$A$12, MATCH(Budget!$C$36, Partnere!$F$2:$F$12, 0)))</f>
        <v/>
      </c>
      <c r="B94" s="279" t="str">
        <f>IF(Budget!$J$36="", "", ROUND(Budget!$J$36,0))</f>
        <v/>
      </c>
      <c r="C94" s="278" t="s">
        <v>715</v>
      </c>
      <c r="D94" s="278" t="str">
        <f>IF(Budget!$A$36="","",VLOOKUP(Budget!$A$36,OmkostningsParticipantsTabel[#Data],2,FALSE))</f>
        <v/>
      </c>
      <c r="H94" s="277">
        <f>IF(ProjektStart &gt;  DATE(FirstYear+2, 12, 31),  DATE(FirstYear+2, 1, 1), MAX(ProjektStart,DATE(FirstYear+2, 1, 1)))</f>
        <v>44927</v>
      </c>
      <c r="I94" s="277">
        <f>IF(ProjektSlut &lt;  DATE(FirstYear+2, 1, 1),  DATE(FirstYear+2, 12, 31), MIN(ProjektSlut,DATE(FirstYear+2, 12, 31)))</f>
        <v>45291</v>
      </c>
      <c r="M94" s="278" t="b">
        <v>0</v>
      </c>
    </row>
    <row r="95" spans="1:13" x14ac:dyDescent="0.25">
      <c r="A95" s="278" t="str">
        <f>IF(Budget!$C$36="", "", INDEX(Partnere!$A$2:$A$12, MATCH(Budget!$C$36, Partnere!$F$2:$F$12, 0)))</f>
        <v/>
      </c>
      <c r="B95" s="279" t="str">
        <f>IF(Budget!$K$36="", "", ROUND(Budget!$K$36,0))</f>
        <v/>
      </c>
      <c r="C95" s="278" t="s">
        <v>715</v>
      </c>
      <c r="D95" s="278" t="str">
        <f>IF(Budget!$A$36="","",VLOOKUP(Budget!$A$36,OmkostningsParticipantsTabel[#Data],2,FALSE))</f>
        <v/>
      </c>
      <c r="H95" s="277">
        <f>IF(ProjektStart &gt;  DATE(FirstYear+3, 12, 31),  DATE(FirstYear+3, 1, 1), MAX(ProjektStart,DATE(FirstYear+3, 1, 1)))</f>
        <v>45292</v>
      </c>
      <c r="I95" s="277">
        <f>IF(ProjektSlut &lt;  DATE(FirstYear+3, 1, 1),  DATE(FirstYear+3, 12, 31), MIN(ProjektSlut,DATE(FirstYear+3, 12, 31)))</f>
        <v>45657</v>
      </c>
      <c r="M95" s="278" t="b">
        <v>0</v>
      </c>
    </row>
    <row r="96" spans="1:13" x14ac:dyDescent="0.25">
      <c r="A96" s="278" t="str">
        <f>IF(Budget!$C$36="", "", INDEX(Partnere!$A$2:$A$12, MATCH(Budget!$C$36, Partnere!$F$2:$F$12, 0)))</f>
        <v/>
      </c>
      <c r="B96" s="279" t="str">
        <f>IF(Budget!$L$36="", "", ROUND(Budget!$L$36,0))</f>
        <v/>
      </c>
      <c r="C96" s="278" t="s">
        <v>715</v>
      </c>
      <c r="D96" s="278" t="str">
        <f>IF(Budget!$A$36="","",VLOOKUP(Budget!$A$36,OmkostningsParticipantsTabel[#Data],2,FALSE))</f>
        <v/>
      </c>
      <c r="H96" s="277">
        <f>IF(ProjektStart &gt;  DATE(FirstYear+4, 12, 31),  DATE(FirstYear+4, 1, 1), MAX(ProjektStart,DATE(FirstYear+4, 1, 1)))</f>
        <v>45658</v>
      </c>
      <c r="I96" s="277">
        <f>IF(ProjektSlut &lt;  DATE(FirstYear+4, 1, 1),  DATE(FirstYear+4, 12, 31), MIN(ProjektSlut,DATE(FirstYear+4, 12, 31)))</f>
        <v>46022</v>
      </c>
      <c r="M96" s="278" t="b">
        <v>0</v>
      </c>
    </row>
    <row r="97" spans="1:13" x14ac:dyDescent="0.25">
      <c r="A97" s="278" t="str">
        <f>IF(Budget!$C$36="", "", INDEX(Partnere!$A$2:$A$12, MATCH(Budget!$C$36, Partnere!$F$2:$F$12, 0)))</f>
        <v/>
      </c>
      <c r="B97" s="279" t="str">
        <f>IF(Budget!$M$36="", "", ROUND(Budget!$M$36,0))</f>
        <v/>
      </c>
      <c r="C97" s="278" t="s">
        <v>715</v>
      </c>
      <c r="D97" s="278" t="str">
        <f>IF(Budget!$A$36="","",VLOOKUP(Budget!$A$36,OmkostningsParticipantsTabel[#Data],2,FALSE))</f>
        <v/>
      </c>
      <c r="H97" s="277">
        <f>IF(ProjektStart &gt;  DATE(FirstYear+5, 12, 31),  DATE(FirstYear+5, 1, 1), MAX(ProjektStart,DATE(FirstYear+5, 1, 1)))</f>
        <v>46023</v>
      </c>
      <c r="I97" s="277">
        <f>IF(ProjektSlut &lt;  DATE(FirstYear+5, 1, 1),  DATE(FirstYear+5, 12, 31), MIN(ProjektSlut,DATE(FirstYear+5, 12, 31)))</f>
        <v>46387</v>
      </c>
      <c r="M97" s="278" t="b">
        <v>0</v>
      </c>
    </row>
    <row r="98" spans="1:13" x14ac:dyDescent="0.25">
      <c r="A98" s="278" t="str">
        <f>IF(Budget!$C$36="", "", INDEX(Partnere!$A$2:$A$12, MATCH(Budget!$C$36, Partnere!$F$2:$F$12, 0)))</f>
        <v/>
      </c>
      <c r="B98" s="279" t="str">
        <f>IF(Budget!$N$36="", "", ROUND(Budget!$N$36,0))</f>
        <v/>
      </c>
      <c r="C98" s="278" t="s">
        <v>715</v>
      </c>
      <c r="D98" s="278" t="str">
        <f>IF(Budget!$A$36="","",VLOOKUP(Budget!$A$36,OmkostningsParticipantsTabel[#Data],2,FALSE))</f>
        <v/>
      </c>
      <c r="H98" s="277">
        <f>IF(ProjektStart &gt;  DATE(FirstYear+6, 12, 31),  DATE(FirstYear+6, 1, 1), MAX(ProjektStart,DATE(FirstYear+6, 1, 1)))</f>
        <v>46388</v>
      </c>
      <c r="I98" s="277">
        <f>IF(ProjektSlut &lt;  DATE(FirstYear+6, 1, 1),  DATE(FirstYear+6, 12, 31), MIN(ProjektSlut,DATE(FirstYear+6, 12, 31)))</f>
        <v>46752</v>
      </c>
      <c r="M98" s="278" t="b">
        <v>0</v>
      </c>
    </row>
    <row r="99" spans="1:13" x14ac:dyDescent="0.25">
      <c r="A99" s="278" t="str">
        <f>IF(Budget!$C$36="", "", INDEX(Partnere!$A$2:$A$12, MATCH(Budget!$C$36, Partnere!$F$2:$F$12, 0)))</f>
        <v/>
      </c>
      <c r="B99" s="279" t="str">
        <f>IF(Budget!$O$36="", "", ROUND(Budget!$O$36,0))</f>
        <v/>
      </c>
      <c r="C99" s="278" t="s">
        <v>715</v>
      </c>
      <c r="D99" s="278" t="str">
        <f>IF(Budget!$A$36="","",VLOOKUP(Budget!$A$36,OmkostningsParticipantsTabel[#Data],2,FALSE))</f>
        <v/>
      </c>
      <c r="H99" s="277">
        <f>IF(ProjektStart &gt;  DATE(FirstYear+7, 12, 31),  DATE(FirstYear+7, 1, 1), MAX(ProjektStart,DATE(FirstYear+7, 1, 1)))</f>
        <v>46753</v>
      </c>
      <c r="I99" s="277">
        <f>IF(ProjektSlut &lt;  DATE(FirstYear+7, 1, 1),  DATE(FirstYear+7, 12, 31), MIN(ProjektSlut,DATE(FirstYear+7, 12, 31)))</f>
        <v>47118</v>
      </c>
      <c r="M99" s="278" t="b">
        <v>0</v>
      </c>
    </row>
    <row r="100" spans="1:13" x14ac:dyDescent="0.25">
      <c r="A100" s="278" t="str">
        <f>IF(Budget!$C$36="", "", INDEX(Partnere!$A$2:$A$12, MATCH(Budget!$C$36, Partnere!$F$2:$F$12, 0)))</f>
        <v/>
      </c>
      <c r="B100" s="279" t="str">
        <f>IF(Budget!$P$36="", "", ROUND(Budget!$P$36,0))</f>
        <v/>
      </c>
      <c r="C100" s="278" t="s">
        <v>715</v>
      </c>
      <c r="D100" s="278" t="str">
        <f>IF(Budget!$A$36="","",VLOOKUP(Budget!$A$36,OmkostningsParticipantsTabel[#Data],2,FALSE))</f>
        <v/>
      </c>
      <c r="H100" s="277">
        <f>IF(ProjektStart &gt;  DATE(FirstYear+8, 12, 31),  DATE(FirstYear+8, 1, 1), MAX(ProjektStart,DATE(FirstYear+8, 1, 1)))</f>
        <v>47119</v>
      </c>
      <c r="I100" s="277">
        <f>IF(ProjektSlut &lt;  DATE(FirstYear+8, 1, 1),  DATE(FirstYear+8, 12, 31), MIN(ProjektSlut,DATE(FirstYear+8, 12, 31)))</f>
        <v>47483</v>
      </c>
      <c r="M100" s="278" t="b">
        <v>0</v>
      </c>
    </row>
    <row r="101" spans="1:13" x14ac:dyDescent="0.25">
      <c r="A101" s="278" t="str">
        <f>IF(Budget!$C$37="", "", INDEX(Partnere!$A$2:$A$12, MATCH(Budget!$C$37, Partnere!$F$2:$F$12, 0)))</f>
        <v/>
      </c>
      <c r="B101" s="279" t="str">
        <f>IF(Budget!$H$37="", "", ROUND(Budget!$H$37,0))</f>
        <v/>
      </c>
      <c r="C101" s="278" t="s">
        <v>715</v>
      </c>
      <c r="D101" s="278" t="str">
        <f>IF(Budget!$A$37="","",VLOOKUP(Budget!$A$37,OmkostningsParticipantsTabel[#Data],2,FALSE))</f>
        <v/>
      </c>
      <c r="H101" s="277">
        <f>IF(ProjektStart &gt;  DATE(FirstYear, 12, 31),  DATE(FirstYear, 1, 1), MAX(ProjektStart,DATE(FirstYear, 1, 1)))</f>
        <v>44197</v>
      </c>
      <c r="I101" s="277">
        <f>IF(ProjektSlut &lt;  DATE(FirstYear, 1, 1),  DATE(FirstYear, 12, 31), MIN(ProjektSlut,DATE(FirstYear, 12, 31)))</f>
        <v>44561</v>
      </c>
      <c r="M101" s="278" t="b">
        <v>0</v>
      </c>
    </row>
    <row r="102" spans="1:13" x14ac:dyDescent="0.25">
      <c r="A102" s="278" t="str">
        <f>IF(Budget!$C$37="", "", INDEX(Partnere!$A$2:$A$12, MATCH(Budget!$C$37, Partnere!$F$2:$F$12, 0)))</f>
        <v/>
      </c>
      <c r="B102" s="279" t="str">
        <f>IF(Budget!$I$37="", "", ROUND(Budget!$I$37,0))</f>
        <v/>
      </c>
      <c r="C102" s="278" t="s">
        <v>715</v>
      </c>
      <c r="D102" s="278" t="str">
        <f>IF(Budget!$A$37="","",VLOOKUP(Budget!$A$37,OmkostningsParticipantsTabel[#Data],2,FALSE))</f>
        <v/>
      </c>
      <c r="H102" s="277">
        <f>IF(ProjektStart &gt;  DATE(FirstYear+1, 12, 31),  DATE(FirstYear+1, 1, 1), MAX(ProjektStart,DATE(FirstYear+1, 1, 1)))</f>
        <v>44562</v>
      </c>
      <c r="I102" s="277">
        <f>IF(ProjektSlut &lt;  DATE(FirstYear+1, 1, 1),  DATE(FirstYear+1, 12, 31), MIN(ProjektSlut,DATE(FirstYear+1, 12, 31)))</f>
        <v>44926</v>
      </c>
      <c r="M102" s="278" t="b">
        <v>0</v>
      </c>
    </row>
    <row r="103" spans="1:13" x14ac:dyDescent="0.25">
      <c r="A103" s="278" t="str">
        <f>IF(Budget!$C$37="", "", INDEX(Partnere!$A$2:$A$12, MATCH(Budget!$C$37, Partnere!$F$2:$F$12, 0)))</f>
        <v/>
      </c>
      <c r="B103" s="279" t="str">
        <f>IF(Budget!$J$37="", "", ROUND(Budget!$J$37,0))</f>
        <v/>
      </c>
      <c r="C103" s="278" t="s">
        <v>715</v>
      </c>
      <c r="D103" s="278" t="str">
        <f>IF(Budget!$A$37="","",VLOOKUP(Budget!$A$37,OmkostningsParticipantsTabel[#Data],2,FALSE))</f>
        <v/>
      </c>
      <c r="H103" s="277">
        <f>IF(ProjektStart &gt;  DATE(FirstYear+2, 12, 31),  DATE(FirstYear+2, 1, 1), MAX(ProjektStart,DATE(FirstYear+2, 1, 1)))</f>
        <v>44927</v>
      </c>
      <c r="I103" s="277">
        <f>IF(ProjektSlut &lt;  DATE(FirstYear+2, 1, 1),  DATE(FirstYear+2, 12, 31), MIN(ProjektSlut,DATE(FirstYear+2, 12, 31)))</f>
        <v>45291</v>
      </c>
      <c r="M103" s="278" t="b">
        <v>0</v>
      </c>
    </row>
    <row r="104" spans="1:13" x14ac:dyDescent="0.25">
      <c r="A104" s="278" t="str">
        <f>IF(Budget!$C$37="", "", INDEX(Partnere!$A$2:$A$12, MATCH(Budget!$C$37, Partnere!$F$2:$F$12, 0)))</f>
        <v/>
      </c>
      <c r="B104" s="279" t="str">
        <f>IF(Budget!$K$37="", "", ROUND(Budget!$K$37,0))</f>
        <v/>
      </c>
      <c r="C104" s="278" t="s">
        <v>715</v>
      </c>
      <c r="D104" s="278" t="str">
        <f>IF(Budget!$A$37="","",VLOOKUP(Budget!$A$37,OmkostningsParticipantsTabel[#Data],2,FALSE))</f>
        <v/>
      </c>
      <c r="H104" s="277">
        <f>IF(ProjektStart &gt;  DATE(FirstYear+3, 12, 31),  DATE(FirstYear+3, 1, 1), MAX(ProjektStart,DATE(FirstYear+3, 1, 1)))</f>
        <v>45292</v>
      </c>
      <c r="I104" s="277">
        <f>IF(ProjektSlut &lt;  DATE(FirstYear+3, 1, 1),  DATE(FirstYear+3, 12, 31), MIN(ProjektSlut,DATE(FirstYear+3, 12, 31)))</f>
        <v>45657</v>
      </c>
      <c r="M104" s="278" t="b">
        <v>0</v>
      </c>
    </row>
    <row r="105" spans="1:13" x14ac:dyDescent="0.25">
      <c r="A105" s="278" t="str">
        <f>IF(Budget!$C$37="", "", INDEX(Partnere!$A$2:$A$12, MATCH(Budget!$C$37, Partnere!$F$2:$F$12, 0)))</f>
        <v/>
      </c>
      <c r="B105" s="279" t="str">
        <f>IF(Budget!$L$37="", "", ROUND(Budget!$L$37,0))</f>
        <v/>
      </c>
      <c r="C105" s="278" t="s">
        <v>715</v>
      </c>
      <c r="D105" s="278" t="str">
        <f>IF(Budget!$A$37="","",VLOOKUP(Budget!$A$37,OmkostningsParticipantsTabel[#Data],2,FALSE))</f>
        <v/>
      </c>
      <c r="H105" s="277">
        <f>IF(ProjektStart &gt;  DATE(FirstYear+4, 12, 31),  DATE(FirstYear+4, 1, 1), MAX(ProjektStart,DATE(FirstYear+4, 1, 1)))</f>
        <v>45658</v>
      </c>
      <c r="I105" s="277">
        <f>IF(ProjektSlut &lt;  DATE(FirstYear+4, 1, 1),  DATE(FirstYear+4, 12, 31), MIN(ProjektSlut,DATE(FirstYear+4, 12, 31)))</f>
        <v>46022</v>
      </c>
      <c r="M105" s="278" t="b">
        <v>0</v>
      </c>
    </row>
    <row r="106" spans="1:13" s="281" customFormat="1" x14ac:dyDescent="0.25">
      <c r="A106" s="278" t="str">
        <f>IF(Budget!$C$37="", "", INDEX(Partnere!$A$2:$A$12, MATCH(Budget!$C$37, Partnere!$F$2:$F$12, 0)))</f>
        <v/>
      </c>
      <c r="B106" s="280" t="str">
        <f>IF(Budget!$M$37="", "", ROUND(Budget!$M$37,0))</f>
        <v/>
      </c>
      <c r="C106" s="281" t="s">
        <v>715</v>
      </c>
      <c r="D106" s="281" t="str">
        <f>IF(Budget!$A$37="","",VLOOKUP(Budget!$A$37,OmkostningsParticipantsTabel[#Data],2,FALSE))</f>
        <v/>
      </c>
      <c r="H106" s="282">
        <f>IF(ProjektStart &gt;  DATE(FirstYear+5, 12, 31),  DATE(FirstYear+5, 1, 1), MAX(ProjektStart,DATE(FirstYear+5, 1, 1)))</f>
        <v>46023</v>
      </c>
      <c r="I106" s="282">
        <f>IF(ProjektSlut &lt;  DATE(FirstYear+5, 1, 1),  DATE(FirstYear+5, 12, 31), MIN(ProjektSlut,DATE(FirstYear+5, 12, 31)))</f>
        <v>46387</v>
      </c>
      <c r="M106" s="278" t="b">
        <v>0</v>
      </c>
    </row>
    <row r="107" spans="1:13" s="281" customFormat="1" x14ac:dyDescent="0.25">
      <c r="A107" s="278" t="str">
        <f>IF(Budget!$C$37="", "", INDEX(Partnere!$A$2:$A$12, MATCH(Budget!$C$37, Partnere!$F$2:$F$12, 0)))</f>
        <v/>
      </c>
      <c r="B107" s="280" t="str">
        <f>IF(Budget!$N$37="", "", ROUND(Budget!$N$37,0))</f>
        <v/>
      </c>
      <c r="C107" s="281" t="s">
        <v>715</v>
      </c>
      <c r="D107" s="281" t="str">
        <f>IF(Budget!$A$37="","",VLOOKUP(Budget!$A$37,OmkostningsParticipantsTabel[#Data],2,FALSE))</f>
        <v/>
      </c>
      <c r="H107" s="277">
        <f>IF(ProjektStart &gt;  DATE(FirstYear+6, 12, 31),  DATE(FirstYear+6, 1, 1), MAX(ProjektStart,DATE(FirstYear+6, 1, 1)))</f>
        <v>46388</v>
      </c>
      <c r="I107" s="277">
        <f>IF(ProjektSlut &lt;  DATE(FirstYear+6, 1, 1),  DATE(FirstYear+6, 12, 31), MIN(ProjektSlut,DATE(FirstYear+6, 12, 31)))</f>
        <v>46752</v>
      </c>
      <c r="M107" s="278" t="b">
        <v>0</v>
      </c>
    </row>
    <row r="108" spans="1:13" s="281" customFormat="1" x14ac:dyDescent="0.25">
      <c r="A108" s="278" t="str">
        <f>IF(Budget!$C$37="", "", INDEX(Partnere!$A$2:$A$12, MATCH(Budget!$C$37, Partnere!$F$2:$F$12, 0)))</f>
        <v/>
      </c>
      <c r="B108" s="280" t="str">
        <f>IF(Budget!$O$37="", "", ROUND(Budget!$O$37,0))</f>
        <v/>
      </c>
      <c r="C108" s="281" t="s">
        <v>715</v>
      </c>
      <c r="D108" s="281" t="str">
        <f>IF(Budget!$A$37="","",VLOOKUP(Budget!$A$37,OmkostningsParticipantsTabel[#Data],2,FALSE))</f>
        <v/>
      </c>
      <c r="H108" s="277">
        <f>IF(ProjektStart &gt;  DATE(FirstYear+7, 12, 31),  DATE(FirstYear+7, 1, 1), MAX(ProjektStart,DATE(FirstYear+7, 1, 1)))</f>
        <v>46753</v>
      </c>
      <c r="I108" s="277">
        <f>IF(ProjektSlut &lt;  DATE(FirstYear+7, 1, 1),  DATE(FirstYear+7, 12, 31), MIN(ProjektSlut,DATE(FirstYear+7, 12, 31)))</f>
        <v>47118</v>
      </c>
      <c r="M108" s="278" t="b">
        <v>0</v>
      </c>
    </row>
    <row r="109" spans="1:13" s="281" customFormat="1" x14ac:dyDescent="0.25">
      <c r="A109" s="278" t="str">
        <f>IF(Budget!$C$37="", "", INDEX(Partnere!$A$2:$A$12, MATCH(Budget!$C$37, Partnere!$F$2:$F$12, 0)))</f>
        <v/>
      </c>
      <c r="B109" s="280" t="str">
        <f>IF(Budget!$P$37="", "", ROUND(Budget!$P$37,0))</f>
        <v/>
      </c>
      <c r="C109" s="281" t="s">
        <v>715</v>
      </c>
      <c r="D109" s="281" t="str">
        <f>IF(Budget!$A$37="","",VLOOKUP(Budget!$A$37,OmkostningsParticipantsTabel[#Data],2,FALSE))</f>
        <v/>
      </c>
      <c r="H109" s="277">
        <f>IF(ProjektStart &gt;  DATE(FirstYear+8, 12, 31),  DATE(FirstYear+8, 1, 1), MAX(ProjektStart,DATE(FirstYear+8, 1, 1)))</f>
        <v>47119</v>
      </c>
      <c r="I109" s="277">
        <f>IF(ProjektSlut &lt;  DATE(FirstYear+8, 1, 1),  DATE(FirstYear+8, 12, 31), MIN(ProjektSlut,DATE(FirstYear+8, 12, 31)))</f>
        <v>47483</v>
      </c>
      <c r="M109" s="278" t="b">
        <v>0</v>
      </c>
    </row>
    <row r="110" spans="1:13" x14ac:dyDescent="0.25">
      <c r="A110" s="278" t="str">
        <f>IF(Budget!$C$38="", "", INDEX(Partnere!$A$2:$A$12, MATCH(Budget!$C$38, Partnere!$F$2:$F$12, 0)))</f>
        <v/>
      </c>
      <c r="B110" s="279" t="str">
        <f>IF(Budget!$H$38="", "", ROUND(Budget!$H$38,0))</f>
        <v/>
      </c>
      <c r="C110" s="281" t="s">
        <v>715</v>
      </c>
      <c r="D110" s="278" t="str">
        <f>IF(Budget!$A$38="","",VLOOKUP(Budget!$A$38,OmkostningsParticipantsTabel[#Data],2,FALSE))</f>
        <v/>
      </c>
      <c r="H110" s="277">
        <f>IF(ProjektStart &gt;  DATE(FirstYear, 12, 31),  DATE(FirstYear, 1, 1), MAX(ProjektStart,DATE(FirstYear, 1, 1)))</f>
        <v>44197</v>
      </c>
      <c r="I110" s="277">
        <f>IF(ProjektSlut &lt;  DATE(FirstYear, 1, 1),  DATE(FirstYear, 12, 31), MIN(ProjektSlut,DATE(FirstYear, 12, 31)))</f>
        <v>44561</v>
      </c>
      <c r="M110" s="278" t="b">
        <v>0</v>
      </c>
    </row>
    <row r="111" spans="1:13" x14ac:dyDescent="0.25">
      <c r="A111" s="278" t="str">
        <f>IF(Budget!$C$38="", "", INDEX(Partnere!$A$2:$A$12, MATCH(Budget!$C$38, Partnere!$F$2:$F$12, 0)))</f>
        <v/>
      </c>
      <c r="B111" s="279" t="str">
        <f>IF(Budget!$I$38="", "", ROUND(Budget!$I$38,0))</f>
        <v/>
      </c>
      <c r="C111" s="281" t="s">
        <v>715</v>
      </c>
      <c r="D111" s="278" t="str">
        <f>IF(Budget!$A$38="","",VLOOKUP(Budget!$A$38,OmkostningsParticipantsTabel[#Data],2,FALSE))</f>
        <v/>
      </c>
      <c r="H111" s="277">
        <f>IF(ProjektStart &gt;  DATE(FirstYear+1, 12, 31),  DATE(FirstYear+1, 1, 1), MAX(ProjektStart,DATE(FirstYear+1, 1, 1)))</f>
        <v>44562</v>
      </c>
      <c r="I111" s="277">
        <f>IF(ProjektSlut &lt;  DATE(FirstYear+1, 1, 1),  DATE(FirstYear+1, 12, 31), MIN(ProjektSlut,DATE(FirstYear+1, 12, 31)))</f>
        <v>44926</v>
      </c>
      <c r="M111" s="278" t="b">
        <v>0</v>
      </c>
    </row>
    <row r="112" spans="1:13" x14ac:dyDescent="0.25">
      <c r="A112" s="278" t="str">
        <f>IF(Budget!$C$38="", "", INDEX(Partnere!$A$2:$A$12, MATCH(Budget!$C$38, Partnere!$F$2:$F$12, 0)))</f>
        <v/>
      </c>
      <c r="B112" s="279" t="str">
        <f>IF(Budget!$J$38="", "", ROUND(Budget!$J$38,0))</f>
        <v/>
      </c>
      <c r="C112" s="281" t="s">
        <v>715</v>
      </c>
      <c r="D112" s="278" t="str">
        <f>IF(Budget!$A$38="","",VLOOKUP(Budget!$A$38,OmkostningsParticipantsTabel[#Data],2,FALSE))</f>
        <v/>
      </c>
      <c r="H112" s="277">
        <f>IF(ProjektStart &gt;  DATE(FirstYear+2, 12, 31),  DATE(FirstYear+2, 1, 1), MAX(ProjektStart,DATE(FirstYear+2, 1, 1)))</f>
        <v>44927</v>
      </c>
      <c r="I112" s="277">
        <f>IF(ProjektSlut &lt;  DATE(FirstYear+2, 1, 1),  DATE(FirstYear+2, 12, 31), MIN(ProjektSlut,DATE(FirstYear+2, 12, 31)))</f>
        <v>45291</v>
      </c>
      <c r="M112" s="278" t="b">
        <v>0</v>
      </c>
    </row>
    <row r="113" spans="1:13" x14ac:dyDescent="0.25">
      <c r="A113" s="278" t="str">
        <f>IF(Budget!$C$38="", "", INDEX(Partnere!$A$2:$A$12, MATCH(Budget!$C$38, Partnere!$F$2:$F$12, 0)))</f>
        <v/>
      </c>
      <c r="B113" s="279" t="str">
        <f>IF(Budget!$K$38="", "", ROUND(Budget!$K$38,0))</f>
        <v/>
      </c>
      <c r="C113" s="281" t="s">
        <v>715</v>
      </c>
      <c r="D113" s="278" t="str">
        <f>IF(Budget!$A$38="","",VLOOKUP(Budget!$A$38,OmkostningsParticipantsTabel[#Data],2,FALSE))</f>
        <v/>
      </c>
      <c r="H113" s="277">
        <f>IF(ProjektStart &gt;  DATE(FirstYear+3, 12, 31),  DATE(FirstYear+3, 1, 1), MAX(ProjektStart,DATE(FirstYear+3, 1, 1)))</f>
        <v>45292</v>
      </c>
      <c r="I113" s="277">
        <f>IF(ProjektSlut &lt;  DATE(FirstYear+3, 1, 1),  DATE(FirstYear+3, 12, 31), MIN(ProjektSlut,DATE(FirstYear+3, 12, 31)))</f>
        <v>45657</v>
      </c>
      <c r="M113" s="278" t="b">
        <v>0</v>
      </c>
    </row>
    <row r="114" spans="1:13" x14ac:dyDescent="0.25">
      <c r="A114" s="278" t="str">
        <f>IF(Budget!$C$38="", "", INDEX(Partnere!$A$2:$A$12, MATCH(Budget!$C$38, Partnere!$F$2:$F$12, 0)))</f>
        <v/>
      </c>
      <c r="B114" s="279" t="str">
        <f>IF(Budget!$L$38="", "", ROUND(Budget!$L$38,0))</f>
        <v/>
      </c>
      <c r="C114" s="281" t="s">
        <v>715</v>
      </c>
      <c r="D114" s="278" t="str">
        <f>IF(Budget!$A$38="","",VLOOKUP(Budget!$A$38,OmkostningsParticipantsTabel[#Data],2,FALSE))</f>
        <v/>
      </c>
      <c r="H114" s="277">
        <f>IF(ProjektStart &gt;  DATE(FirstYear+4, 12, 31),  DATE(FirstYear+4, 1, 1), MAX(ProjektStart,DATE(FirstYear+4, 1, 1)))</f>
        <v>45658</v>
      </c>
      <c r="I114" s="277">
        <f>IF(ProjektSlut &lt;  DATE(FirstYear+4, 1, 1),  DATE(FirstYear+4, 12, 31), MIN(ProjektSlut,DATE(FirstYear+4, 12, 31)))</f>
        <v>46022</v>
      </c>
      <c r="M114" s="278" t="b">
        <v>0</v>
      </c>
    </row>
    <row r="115" spans="1:13" s="281" customFormat="1" x14ac:dyDescent="0.25">
      <c r="A115" s="278" t="str">
        <f>IF(Budget!$C$38="", "", INDEX(Partnere!$A$2:$A$12, MATCH(Budget!$C$38, Partnere!$F$2:$F$12, 0)))</f>
        <v/>
      </c>
      <c r="B115" s="280" t="str">
        <f>IF(Budget!$M$38="", "", ROUND(Budget!$M$38,0))</f>
        <v/>
      </c>
      <c r="C115" s="281" t="s">
        <v>715</v>
      </c>
      <c r="D115" s="281" t="str">
        <f>IF(Budget!$A$38="","",VLOOKUP(Budget!$A$38,OmkostningsParticipantsTabel[#Data],2,FALSE))</f>
        <v/>
      </c>
      <c r="H115" s="282">
        <f>IF(ProjektStart &gt;  DATE(FirstYear+5, 12, 31),  DATE(FirstYear+5, 1, 1), MAX(ProjektStart,DATE(FirstYear+5, 1, 1)))</f>
        <v>46023</v>
      </c>
      <c r="I115" s="282">
        <f>IF(ProjektSlut &lt;  DATE(FirstYear+5, 1, 1),  DATE(FirstYear+5, 12, 31), MIN(ProjektSlut,DATE(FirstYear+5, 12, 31)))</f>
        <v>46387</v>
      </c>
      <c r="M115" s="278" t="b">
        <v>0</v>
      </c>
    </row>
    <row r="116" spans="1:13" s="281" customFormat="1" x14ac:dyDescent="0.25">
      <c r="A116" s="278" t="str">
        <f>IF(Budget!$C$38="", "", INDEX(Partnere!$A$2:$A$12, MATCH(Budget!$C$38, Partnere!$F$2:$F$12, 0)))</f>
        <v/>
      </c>
      <c r="B116" s="280" t="str">
        <f>IF(Budget!$N$38="", "", ROUND(Budget!$N$38,0))</f>
        <v/>
      </c>
      <c r="C116" s="281" t="s">
        <v>715</v>
      </c>
      <c r="D116" s="281" t="str">
        <f>IF(Budget!$A$38="","",VLOOKUP(Budget!$A$38,OmkostningsParticipantsTabel[#Data],2,FALSE))</f>
        <v/>
      </c>
      <c r="H116" s="277">
        <f>IF(ProjektStart &gt;  DATE(FirstYear+6, 12, 31),  DATE(FirstYear+6, 1, 1), MAX(ProjektStart,DATE(FirstYear+6, 1, 1)))</f>
        <v>46388</v>
      </c>
      <c r="I116" s="277">
        <f>IF(ProjektSlut &lt;  DATE(FirstYear+6, 1, 1),  DATE(FirstYear+6, 12, 31), MIN(ProjektSlut,DATE(FirstYear+6, 12, 31)))</f>
        <v>46752</v>
      </c>
      <c r="M116" s="278" t="b">
        <v>0</v>
      </c>
    </row>
    <row r="117" spans="1:13" s="281" customFormat="1" x14ac:dyDescent="0.25">
      <c r="A117" s="278" t="str">
        <f>IF(Budget!$C$38="", "", INDEX(Partnere!$A$2:$A$12, MATCH(Budget!$C$38, Partnere!$F$2:$F$12, 0)))</f>
        <v/>
      </c>
      <c r="B117" s="280" t="str">
        <f>IF(Budget!$O$38="", "", ROUND(Budget!$O$38,0))</f>
        <v/>
      </c>
      <c r="C117" s="281" t="s">
        <v>715</v>
      </c>
      <c r="D117" s="281" t="str">
        <f>IF(Budget!$A$38="","",VLOOKUP(Budget!$A$38,OmkostningsParticipantsTabel[#Data],2,FALSE))</f>
        <v/>
      </c>
      <c r="H117" s="277">
        <f>IF(ProjektStart &gt;  DATE(FirstYear+7, 12, 31),  DATE(FirstYear+7, 1, 1), MAX(ProjektStart,DATE(FirstYear+7, 1, 1)))</f>
        <v>46753</v>
      </c>
      <c r="I117" s="277">
        <f>IF(ProjektSlut &lt;  DATE(FirstYear+7, 1, 1),  DATE(FirstYear+7, 12, 31), MIN(ProjektSlut,DATE(FirstYear+7, 12, 31)))</f>
        <v>47118</v>
      </c>
      <c r="M117" s="278" t="b">
        <v>0</v>
      </c>
    </row>
    <row r="118" spans="1:13" s="281" customFormat="1" x14ac:dyDescent="0.25">
      <c r="A118" s="278" t="str">
        <f>IF(Budget!$C$38="", "", INDEX(Partnere!$A$2:$A$12, MATCH(Budget!$C$38, Partnere!$F$2:$F$12, 0)))</f>
        <v/>
      </c>
      <c r="B118" s="280" t="str">
        <f>IF(Budget!$P$38="", "", ROUND(Budget!$P$38,0))</f>
        <v/>
      </c>
      <c r="C118" s="281" t="s">
        <v>715</v>
      </c>
      <c r="D118" s="281" t="str">
        <f>IF(Budget!$A$38="","",VLOOKUP(Budget!$A$38,OmkostningsParticipantsTabel[#Data],2,FALSE))</f>
        <v/>
      </c>
      <c r="H118" s="277">
        <f>IF(ProjektStart &gt;  DATE(FirstYear+8, 12, 31),  DATE(FirstYear+8, 1, 1), MAX(ProjektStart,DATE(FirstYear+8, 1, 1)))</f>
        <v>47119</v>
      </c>
      <c r="I118" s="277">
        <f>IF(ProjektSlut &lt;  DATE(FirstYear+8, 1, 1),  DATE(FirstYear+8, 12, 31), MIN(ProjektSlut,DATE(FirstYear+8, 12, 31)))</f>
        <v>47483</v>
      </c>
      <c r="M118" s="278" t="b">
        <v>0</v>
      </c>
    </row>
    <row r="119" spans="1:13" x14ac:dyDescent="0.25">
      <c r="A119" s="278" t="str">
        <f>IF(Budget!$C$39="", "", INDEX(Partnere!$A$2:$A$12, MATCH(Budget!$C$39, Partnere!$F$2:$F$12, 0)))</f>
        <v/>
      </c>
      <c r="B119" s="279" t="str">
        <f>IF(Budget!$H$39="", "", ROUND(Budget!$H$39,0))</f>
        <v/>
      </c>
      <c r="C119" s="281" t="s">
        <v>715</v>
      </c>
      <c r="D119" s="278" t="str">
        <f>IF(Budget!$A$39="","",VLOOKUP(Budget!$A$39,OmkostningsParticipantsTabel[#Data],2,FALSE))</f>
        <v/>
      </c>
      <c r="H119" s="277">
        <f>IF(ProjektStart &gt;  DATE(FirstYear, 12, 31),  DATE(FirstYear, 1, 1), MAX(ProjektStart,DATE(FirstYear, 1, 1)))</f>
        <v>44197</v>
      </c>
      <c r="I119" s="277">
        <f>IF(ProjektSlut &lt;  DATE(FirstYear, 1, 1),  DATE(FirstYear, 12, 31), MIN(ProjektSlut,DATE(FirstYear, 12, 31)))</f>
        <v>44561</v>
      </c>
      <c r="M119" s="278" t="b">
        <v>0</v>
      </c>
    </row>
    <row r="120" spans="1:13" x14ac:dyDescent="0.25">
      <c r="A120" s="278" t="str">
        <f>IF(Budget!$C$39="", "", INDEX(Partnere!$A$2:$A$12, MATCH(Budget!$C$39, Partnere!$F$2:$F$12, 0)))</f>
        <v/>
      </c>
      <c r="B120" s="279" t="str">
        <f>IF(Budget!$I$39="", "", ROUND(Budget!$I$39,0))</f>
        <v/>
      </c>
      <c r="C120" s="281" t="s">
        <v>715</v>
      </c>
      <c r="D120" s="278" t="str">
        <f>IF(Budget!$A$39="","",VLOOKUP(Budget!$A$39,OmkostningsParticipantsTabel[#Data],2,FALSE))</f>
        <v/>
      </c>
      <c r="H120" s="277">
        <f>IF(ProjektStart &gt;  DATE(FirstYear+1, 12, 31),  DATE(FirstYear+1, 1, 1), MAX(ProjektStart,DATE(FirstYear+1, 1, 1)))</f>
        <v>44562</v>
      </c>
      <c r="I120" s="277">
        <f>IF(ProjektSlut &lt;  DATE(FirstYear+1, 1, 1),  DATE(FirstYear+1, 12, 31), MIN(ProjektSlut,DATE(FirstYear+1, 12, 31)))</f>
        <v>44926</v>
      </c>
      <c r="M120" s="278" t="b">
        <v>0</v>
      </c>
    </row>
    <row r="121" spans="1:13" x14ac:dyDescent="0.25">
      <c r="A121" s="278" t="str">
        <f>IF(Budget!$C$39="", "", INDEX(Partnere!$A$2:$A$12, MATCH(Budget!$C$39, Partnere!$F$2:$F$12, 0)))</f>
        <v/>
      </c>
      <c r="B121" s="279" t="str">
        <f>IF(Budget!$J$39="", "", ROUND(Budget!$J$39,0))</f>
        <v/>
      </c>
      <c r="C121" s="281" t="s">
        <v>715</v>
      </c>
      <c r="D121" s="278" t="str">
        <f>IF(Budget!$A$39="","",VLOOKUP(Budget!$A$39,OmkostningsParticipantsTabel[#Data],2,FALSE))</f>
        <v/>
      </c>
      <c r="H121" s="277">
        <f>IF(ProjektStart &gt;  DATE(FirstYear+2, 12, 31),  DATE(FirstYear+2, 1, 1), MAX(ProjektStart,DATE(FirstYear+2, 1, 1)))</f>
        <v>44927</v>
      </c>
      <c r="I121" s="277">
        <f>IF(ProjektSlut &lt;  DATE(FirstYear+2, 1, 1),  DATE(FirstYear+2, 12, 31), MIN(ProjektSlut,DATE(FirstYear+2, 12, 31)))</f>
        <v>45291</v>
      </c>
      <c r="M121" s="278" t="b">
        <v>0</v>
      </c>
    </row>
    <row r="122" spans="1:13" x14ac:dyDescent="0.25">
      <c r="A122" s="278" t="str">
        <f>IF(Budget!$C$39="", "", INDEX(Partnere!$A$2:$A$12, MATCH(Budget!$C$39, Partnere!$F$2:$F$12, 0)))</f>
        <v/>
      </c>
      <c r="B122" s="279" t="str">
        <f>IF(Budget!$K$39="", "", ROUND(Budget!$K$39,0))</f>
        <v/>
      </c>
      <c r="C122" s="281" t="s">
        <v>715</v>
      </c>
      <c r="D122" s="278" t="str">
        <f>IF(Budget!$A$39="","",VLOOKUP(Budget!$A$39,OmkostningsParticipantsTabel[#Data],2,FALSE))</f>
        <v/>
      </c>
      <c r="H122" s="277">
        <f>IF(ProjektStart &gt;  DATE(FirstYear+3, 12, 31),  DATE(FirstYear+3, 1, 1), MAX(ProjektStart,DATE(FirstYear+3, 1, 1)))</f>
        <v>45292</v>
      </c>
      <c r="I122" s="277">
        <f>IF(ProjektSlut &lt;  DATE(FirstYear+3, 1, 1),  DATE(FirstYear+3, 12, 31), MIN(ProjektSlut,DATE(FirstYear+3, 12, 31)))</f>
        <v>45657</v>
      </c>
      <c r="M122" s="278" t="b">
        <v>0</v>
      </c>
    </row>
    <row r="123" spans="1:13" x14ac:dyDescent="0.25">
      <c r="A123" s="278" t="str">
        <f>IF(Budget!$C$39="", "", INDEX(Partnere!$A$2:$A$12, MATCH(Budget!$C$39, Partnere!$F$2:$F$12, 0)))</f>
        <v/>
      </c>
      <c r="B123" s="279" t="str">
        <f>IF(Budget!$L$39="", "", ROUND(Budget!$L$39,0))</f>
        <v/>
      </c>
      <c r="C123" s="281" t="s">
        <v>715</v>
      </c>
      <c r="D123" s="278" t="str">
        <f>IF(Budget!$A$39="","",VLOOKUP(Budget!$A$39,OmkostningsParticipantsTabel[#Data],2,FALSE))</f>
        <v/>
      </c>
      <c r="H123" s="277">
        <f>IF(ProjektStart &gt;  DATE(FirstYear+4, 12, 31),  DATE(FirstYear+4, 1, 1), MAX(ProjektStart,DATE(FirstYear+4, 1, 1)))</f>
        <v>45658</v>
      </c>
      <c r="I123" s="277">
        <f>IF(ProjektSlut &lt;  DATE(FirstYear+4, 1, 1),  DATE(FirstYear+4, 12, 31), MIN(ProjektSlut,DATE(FirstYear+4, 12, 31)))</f>
        <v>46022</v>
      </c>
      <c r="M123" s="278" t="b">
        <v>0</v>
      </c>
    </row>
    <row r="124" spans="1:13" s="281" customFormat="1" x14ac:dyDescent="0.25">
      <c r="A124" s="278" t="str">
        <f>IF(Budget!$C$39="", "", INDEX(Partnere!$A$2:$A$12, MATCH(Budget!$C$39, Partnere!$F$2:$F$12, 0)))</f>
        <v/>
      </c>
      <c r="B124" s="280" t="str">
        <f>IF(Budget!$M$39="", "", ROUND(Budget!$M$39,0))</f>
        <v/>
      </c>
      <c r="C124" s="281" t="s">
        <v>715</v>
      </c>
      <c r="D124" s="281" t="str">
        <f>IF(Budget!$A$39="","",VLOOKUP(Budget!$A$39,OmkostningsParticipantsTabel[#Data],2,FALSE))</f>
        <v/>
      </c>
      <c r="H124" s="282">
        <f>IF(ProjektStart &gt;  DATE(FirstYear+5, 12, 31),  DATE(FirstYear+5, 1, 1), MAX(ProjektStart,DATE(FirstYear+5, 1, 1)))</f>
        <v>46023</v>
      </c>
      <c r="I124" s="282">
        <f>IF(ProjektSlut &lt;  DATE(FirstYear+5, 1, 1),  DATE(FirstYear+5, 12, 31), MIN(ProjektSlut,DATE(FirstYear+5, 12, 31)))</f>
        <v>46387</v>
      </c>
      <c r="M124" s="278" t="b">
        <v>0</v>
      </c>
    </row>
    <row r="125" spans="1:13" s="281" customFormat="1" x14ac:dyDescent="0.25">
      <c r="A125" s="278" t="str">
        <f>IF(Budget!$C$39="", "", INDEX(Partnere!$A$2:$A$12, MATCH(Budget!$C$39, Partnere!$F$2:$F$12, 0)))</f>
        <v/>
      </c>
      <c r="B125" s="280" t="str">
        <f>IF(Budget!$N$39="", "", ROUND(Budget!$N$39,0))</f>
        <v/>
      </c>
      <c r="C125" s="281" t="s">
        <v>715</v>
      </c>
      <c r="D125" s="281" t="str">
        <f>IF(Budget!$A$39="","",VLOOKUP(Budget!$A$39,OmkostningsParticipantsTabel[#Data],2,FALSE))</f>
        <v/>
      </c>
      <c r="H125" s="277">
        <f>IF(ProjektStart &gt;  DATE(FirstYear+6, 12, 31),  DATE(FirstYear+6, 1, 1), MAX(ProjektStart,DATE(FirstYear+6, 1, 1)))</f>
        <v>46388</v>
      </c>
      <c r="I125" s="277">
        <f>IF(ProjektSlut &lt;  DATE(FirstYear+6, 1, 1),  DATE(FirstYear+6, 12, 31), MIN(ProjektSlut,DATE(FirstYear+6, 12, 31)))</f>
        <v>46752</v>
      </c>
      <c r="M125" s="278" t="b">
        <v>0</v>
      </c>
    </row>
    <row r="126" spans="1:13" s="281" customFormat="1" x14ac:dyDescent="0.25">
      <c r="A126" s="278" t="str">
        <f>IF(Budget!$C$39="", "", INDEX(Partnere!$A$2:$A$12, MATCH(Budget!$C$39, Partnere!$F$2:$F$12, 0)))</f>
        <v/>
      </c>
      <c r="B126" s="280" t="str">
        <f>IF(Budget!$O$39="", "", ROUND(Budget!$O$39,0))</f>
        <v/>
      </c>
      <c r="C126" s="281" t="s">
        <v>715</v>
      </c>
      <c r="D126" s="281" t="str">
        <f>IF(Budget!$A$39="","",VLOOKUP(Budget!$A$39,OmkostningsParticipantsTabel[#Data],2,FALSE))</f>
        <v/>
      </c>
      <c r="H126" s="277">
        <f>IF(ProjektStart &gt;  DATE(FirstYear+7, 12, 31),  DATE(FirstYear+7, 1, 1), MAX(ProjektStart,DATE(FirstYear+7, 1, 1)))</f>
        <v>46753</v>
      </c>
      <c r="I126" s="277">
        <f>IF(ProjektSlut &lt;  DATE(FirstYear+7, 1, 1),  DATE(FirstYear+7, 12, 31), MIN(ProjektSlut,DATE(FirstYear+7, 12, 31)))</f>
        <v>47118</v>
      </c>
      <c r="M126" s="278" t="b">
        <v>0</v>
      </c>
    </row>
    <row r="127" spans="1:13" s="281" customFormat="1" x14ac:dyDescent="0.25">
      <c r="A127" s="278" t="str">
        <f>IF(Budget!$C$39="", "", INDEX(Partnere!$A$2:$A$12, MATCH(Budget!$C$39, Partnere!$F$2:$F$12, 0)))</f>
        <v/>
      </c>
      <c r="B127" s="280" t="str">
        <f>IF(Budget!$P$39="", "", ROUND(Budget!$P$39,0))</f>
        <v/>
      </c>
      <c r="C127" s="281" t="s">
        <v>715</v>
      </c>
      <c r="D127" s="281" t="str">
        <f>IF(Budget!$A$39="","",VLOOKUP(Budget!$A$39,OmkostningsParticipantsTabel[#Data],2,FALSE))</f>
        <v/>
      </c>
      <c r="H127" s="277">
        <f>IF(ProjektStart &gt;  DATE(FirstYear+8, 12, 31),  DATE(FirstYear+8, 1, 1), MAX(ProjektStart,DATE(FirstYear+8, 1, 1)))</f>
        <v>47119</v>
      </c>
      <c r="I127" s="277">
        <f>IF(ProjektSlut &lt;  DATE(FirstYear+8, 1, 1),  DATE(FirstYear+8, 12, 31), MIN(ProjektSlut,DATE(FirstYear+8, 12, 31)))</f>
        <v>47483</v>
      </c>
      <c r="M127" s="278" t="b">
        <v>0</v>
      </c>
    </row>
    <row r="128" spans="1:13" x14ac:dyDescent="0.25">
      <c r="A128" s="278" t="str">
        <f>IF(Budget!$C$40="", "", INDEX(Partnere!$A$2:$A$12, MATCH(Budget!$C$40, Partnere!$F$2:$F$12, 0)))</f>
        <v/>
      </c>
      <c r="B128" s="279" t="str">
        <f>IF(Budget!$H$40="", "", ROUND(Budget!$H$40,0))</f>
        <v/>
      </c>
      <c r="C128" s="281" t="s">
        <v>715</v>
      </c>
      <c r="D128" s="278" t="str">
        <f>IF(Budget!$A$40="","",VLOOKUP(Budget!$A$40,OmkostningsParticipantsTabel[#Data],2,FALSE))</f>
        <v/>
      </c>
      <c r="H128" s="277">
        <f>IF(ProjektStart &gt;  DATE(FirstYear, 12, 31),  DATE(FirstYear, 1, 1), MAX(ProjektStart,DATE(FirstYear, 1, 1)))</f>
        <v>44197</v>
      </c>
      <c r="I128" s="277">
        <f>IF(ProjektSlut &lt;  DATE(FirstYear, 1, 1),  DATE(FirstYear, 12, 31), MIN(ProjektSlut,DATE(FirstYear, 12, 31)))</f>
        <v>44561</v>
      </c>
      <c r="M128" s="278" t="b">
        <v>0</v>
      </c>
    </row>
    <row r="129" spans="1:13" x14ac:dyDescent="0.25">
      <c r="A129" s="278" t="str">
        <f>IF(Budget!$C$40="", "", INDEX(Partnere!$A$2:$A$12, MATCH(Budget!$C$40, Partnere!$F$2:$F$12, 0)))</f>
        <v/>
      </c>
      <c r="B129" s="279" t="str">
        <f>IF(Budget!$I$40="", "", ROUND(Budget!$I$40,0))</f>
        <v/>
      </c>
      <c r="C129" s="281" t="s">
        <v>715</v>
      </c>
      <c r="D129" s="278" t="str">
        <f>IF(Budget!$A$40="","",VLOOKUP(Budget!$A$40,OmkostningsParticipantsTabel[#Data],2,FALSE))</f>
        <v/>
      </c>
      <c r="H129" s="277">
        <f>IF(ProjektStart &gt;  DATE(FirstYear+1, 12, 31),  DATE(FirstYear+1, 1, 1), MAX(ProjektStart,DATE(FirstYear+1, 1, 1)))</f>
        <v>44562</v>
      </c>
      <c r="I129" s="277">
        <f>IF(ProjektSlut &lt;  DATE(FirstYear+1, 1, 1),  DATE(FirstYear+1, 12, 31), MIN(ProjektSlut,DATE(FirstYear+1, 12, 31)))</f>
        <v>44926</v>
      </c>
      <c r="M129" s="278" t="b">
        <v>0</v>
      </c>
    </row>
    <row r="130" spans="1:13" x14ac:dyDescent="0.25">
      <c r="A130" s="278" t="str">
        <f>IF(Budget!$C$40="", "", INDEX(Partnere!$A$2:$A$12, MATCH(Budget!$C$40, Partnere!$F$2:$F$12, 0)))</f>
        <v/>
      </c>
      <c r="B130" s="279" t="str">
        <f>IF(Budget!$J$40="", "", ROUND(Budget!$J$40,0))</f>
        <v/>
      </c>
      <c r="C130" s="281" t="s">
        <v>715</v>
      </c>
      <c r="D130" s="278" t="str">
        <f>IF(Budget!$A$40="","",VLOOKUP(Budget!$A$40,OmkostningsParticipantsTabel[#Data],2,FALSE))</f>
        <v/>
      </c>
      <c r="H130" s="277">
        <f>IF(ProjektStart &gt;  DATE(FirstYear+2, 12, 31),  DATE(FirstYear+2, 1, 1), MAX(ProjektStart,DATE(FirstYear+2, 1, 1)))</f>
        <v>44927</v>
      </c>
      <c r="I130" s="277">
        <f>IF(ProjektSlut &lt;  DATE(FirstYear+2, 1, 1),  DATE(FirstYear+2, 12, 31), MIN(ProjektSlut,DATE(FirstYear+2, 12, 31)))</f>
        <v>45291</v>
      </c>
      <c r="M130" s="278" t="b">
        <v>0</v>
      </c>
    </row>
    <row r="131" spans="1:13" x14ac:dyDescent="0.25">
      <c r="A131" s="278" t="str">
        <f>IF(Budget!$C$40="", "", INDEX(Partnere!$A$2:$A$12, MATCH(Budget!$C$40, Partnere!$F$2:$F$12, 0)))</f>
        <v/>
      </c>
      <c r="B131" s="279" t="str">
        <f>IF(Budget!$K$40="", "", ROUND(Budget!$K$40,0))</f>
        <v/>
      </c>
      <c r="C131" s="281" t="s">
        <v>715</v>
      </c>
      <c r="D131" s="278" t="str">
        <f>IF(Budget!$A$40="","",VLOOKUP(Budget!$A$40,OmkostningsParticipantsTabel[#Data],2,FALSE))</f>
        <v/>
      </c>
      <c r="H131" s="277">
        <f>IF(ProjektStart &gt;  DATE(FirstYear+3, 12, 31),  DATE(FirstYear+3, 1, 1), MAX(ProjektStart,DATE(FirstYear+3, 1, 1)))</f>
        <v>45292</v>
      </c>
      <c r="I131" s="277">
        <f>IF(ProjektSlut &lt;  DATE(FirstYear+3, 1, 1),  DATE(FirstYear+3, 12, 31), MIN(ProjektSlut,DATE(FirstYear+3, 12, 31)))</f>
        <v>45657</v>
      </c>
      <c r="M131" s="278" t="b">
        <v>0</v>
      </c>
    </row>
    <row r="132" spans="1:13" x14ac:dyDescent="0.25">
      <c r="A132" s="278" t="str">
        <f>IF(Budget!$C$40="", "", INDEX(Partnere!$A$2:$A$12, MATCH(Budget!$C$40, Partnere!$F$2:$F$12, 0)))</f>
        <v/>
      </c>
      <c r="B132" s="279" t="str">
        <f>IF(Budget!$L$40="", "", ROUND(Budget!$L$40,0))</f>
        <v/>
      </c>
      <c r="C132" s="281" t="s">
        <v>715</v>
      </c>
      <c r="D132" s="278" t="str">
        <f>IF(Budget!$A$40="","",VLOOKUP(Budget!$A$40,OmkostningsParticipantsTabel[#Data],2,FALSE))</f>
        <v/>
      </c>
      <c r="H132" s="277">
        <f>IF(ProjektStart &gt;  DATE(FirstYear+4, 12, 31),  DATE(FirstYear+4, 1, 1), MAX(ProjektStart,DATE(FirstYear+4, 1, 1)))</f>
        <v>45658</v>
      </c>
      <c r="I132" s="277">
        <f>IF(ProjektSlut &lt;  DATE(FirstYear+4, 1, 1),  DATE(FirstYear+4, 12, 31), MIN(ProjektSlut,DATE(FirstYear+4, 12, 31)))</f>
        <v>46022</v>
      </c>
      <c r="M132" s="278" t="b">
        <v>0</v>
      </c>
    </row>
    <row r="133" spans="1:13" s="281" customFormat="1" x14ac:dyDescent="0.25">
      <c r="A133" s="278" t="str">
        <f>IF(Budget!$C$40="", "", INDEX(Partnere!$A$2:$A$12, MATCH(Budget!$C$40, Partnere!$F$2:$F$12, 0)))</f>
        <v/>
      </c>
      <c r="B133" s="280" t="str">
        <f>IF(Budget!$M$40="", "", ROUND(Budget!$M$40,0))</f>
        <v/>
      </c>
      <c r="C133" s="281" t="s">
        <v>715</v>
      </c>
      <c r="D133" s="281" t="str">
        <f>IF(Budget!$A$40="","",VLOOKUP(Budget!$A$40,OmkostningsParticipantsTabel[#Data],2,FALSE))</f>
        <v/>
      </c>
      <c r="H133" s="282">
        <f>IF(ProjektStart &gt;  DATE(FirstYear+5, 12, 31),  DATE(FirstYear+5, 1, 1), MAX(ProjektStart,DATE(FirstYear+5, 1, 1)))</f>
        <v>46023</v>
      </c>
      <c r="I133" s="282">
        <f>IF(ProjektSlut &lt;  DATE(FirstYear+5, 1, 1),  DATE(FirstYear+5, 12, 31), MIN(ProjektSlut,DATE(FirstYear+5, 12, 31)))</f>
        <v>46387</v>
      </c>
      <c r="M133" s="278" t="b">
        <v>0</v>
      </c>
    </row>
    <row r="134" spans="1:13" s="281" customFormat="1" x14ac:dyDescent="0.25">
      <c r="A134" s="278" t="str">
        <f>IF(Budget!$C$40="", "", INDEX(Partnere!$A$2:$A$12, MATCH(Budget!$C$40, Partnere!$F$2:$F$12, 0)))</f>
        <v/>
      </c>
      <c r="B134" s="280" t="str">
        <f>IF(Budget!$N$40="", "", ROUND(Budget!$N$40,0))</f>
        <v/>
      </c>
      <c r="C134" s="281" t="s">
        <v>715</v>
      </c>
      <c r="D134" s="281" t="str">
        <f>IF(Budget!$A$40="","",VLOOKUP(Budget!$A$40,OmkostningsParticipantsTabel[#Data],2,FALSE))</f>
        <v/>
      </c>
      <c r="H134" s="277">
        <f>IF(ProjektStart &gt;  DATE(FirstYear+6, 12, 31),  DATE(FirstYear+6, 1, 1), MAX(ProjektStart,DATE(FirstYear+6, 1, 1)))</f>
        <v>46388</v>
      </c>
      <c r="I134" s="277">
        <f>IF(ProjektSlut &lt;  DATE(FirstYear+6, 1, 1),  DATE(FirstYear+6, 12, 31), MIN(ProjektSlut,DATE(FirstYear+6, 12, 31)))</f>
        <v>46752</v>
      </c>
      <c r="M134" s="278" t="b">
        <v>0</v>
      </c>
    </row>
    <row r="135" spans="1:13" s="281" customFormat="1" x14ac:dyDescent="0.25">
      <c r="A135" s="278" t="str">
        <f>IF(Budget!$C$40="", "", INDEX(Partnere!$A$2:$A$12, MATCH(Budget!$C$40, Partnere!$F$2:$F$12, 0)))</f>
        <v/>
      </c>
      <c r="B135" s="280" t="str">
        <f>IF(Budget!$O$40="", "", ROUND(Budget!$O$40,0))</f>
        <v/>
      </c>
      <c r="C135" s="281" t="s">
        <v>715</v>
      </c>
      <c r="D135" s="281" t="str">
        <f>IF(Budget!$A$40="","",VLOOKUP(Budget!$A$40,OmkostningsParticipantsTabel[#Data],2,FALSE))</f>
        <v/>
      </c>
      <c r="H135" s="277">
        <f>IF(ProjektStart &gt;  DATE(FirstYear+7, 12, 31),  DATE(FirstYear+7, 1, 1), MAX(ProjektStart,DATE(FirstYear+7, 1, 1)))</f>
        <v>46753</v>
      </c>
      <c r="I135" s="277">
        <f>IF(ProjektSlut &lt;  DATE(FirstYear+7, 1, 1),  DATE(FirstYear+7, 12, 31), MIN(ProjektSlut,DATE(FirstYear+7, 12, 31)))</f>
        <v>47118</v>
      </c>
      <c r="M135" s="278" t="b">
        <v>0</v>
      </c>
    </row>
    <row r="136" spans="1:13" s="281" customFormat="1" x14ac:dyDescent="0.25">
      <c r="A136" s="278" t="str">
        <f>IF(Budget!$C$40="", "", INDEX(Partnere!$A$2:$A$12, MATCH(Budget!$C$40, Partnere!$F$2:$F$12, 0)))</f>
        <v/>
      </c>
      <c r="B136" s="280" t="str">
        <f>IF(Budget!$P$40="", "", ROUND(Budget!$P$40,0))</f>
        <v/>
      </c>
      <c r="C136" s="281" t="s">
        <v>715</v>
      </c>
      <c r="D136" s="281" t="str">
        <f>IF(Budget!$A$40="","",VLOOKUP(Budget!$A$40,OmkostningsParticipantsTabel[#Data],2,FALSE))</f>
        <v/>
      </c>
      <c r="H136" s="277">
        <f>IF(ProjektStart &gt;  DATE(FirstYear+8, 12, 31),  DATE(FirstYear+8, 1, 1), MAX(ProjektStart,DATE(FirstYear+8, 1, 1)))</f>
        <v>47119</v>
      </c>
      <c r="I136" s="277">
        <f>IF(ProjektSlut &lt;  DATE(FirstYear+8, 1, 1),  DATE(FirstYear+8, 12, 31), MIN(ProjektSlut,DATE(FirstYear+8, 12, 31)))</f>
        <v>47483</v>
      </c>
      <c r="M136" s="278" t="b">
        <v>0</v>
      </c>
    </row>
    <row r="137" spans="1:13" x14ac:dyDescent="0.25">
      <c r="A137" s="278" t="str">
        <f>IF(Budget!$C$54="", "", INDEX(Partnere!$A$2:$A$12, MATCH(Budget!$C$54, Partnere!$F$2:$F$12, 0)))</f>
        <v/>
      </c>
      <c r="B137" s="279" t="str">
        <f>IF(Budget!$D$54="", "", ROUND(Budget!$D$54,0))</f>
        <v/>
      </c>
      <c r="C137" s="281" t="s">
        <v>715</v>
      </c>
      <c r="D137" s="278" t="str">
        <f>IF(Budget!$A$54="","",VLOOKUP(Budget!$A$54,OmkostningsExpenseTabel[#Data],2,FALSE))</f>
        <v/>
      </c>
      <c r="H137" s="277">
        <f>IF(ProjektStart &gt;  DATE(FirstYear, 12, 31),  DATE(FirstYear, 1, 1), MAX(ProjektStart,DATE(FirstYear, 1, 1)))</f>
        <v>44197</v>
      </c>
      <c r="I137" s="277">
        <f>IF(ProjektSlut &lt;  DATE(FirstYear, 1, 1),  DATE(FirstYear, 12, 31), MIN(ProjektSlut,DATE(FirstYear, 12, 31)))</f>
        <v>44561</v>
      </c>
      <c r="M137" s="278" t="b">
        <v>0</v>
      </c>
    </row>
    <row r="138" spans="1:13" x14ac:dyDescent="0.25">
      <c r="A138" s="278" t="str">
        <f>IF(Budget!$C$54="", "", INDEX(Partnere!$A$2:$A$12, MATCH(Budget!$C$54, Partnere!$F$2:$F$12, 0)))</f>
        <v/>
      </c>
      <c r="B138" s="279" t="str">
        <f>IF(Budget!$E$54="", "", ROUND(Budget!$E$54,0))</f>
        <v/>
      </c>
      <c r="C138" s="281" t="s">
        <v>715</v>
      </c>
      <c r="D138" s="278" t="str">
        <f>IF(Budget!$A$54="","",VLOOKUP(Budget!$A$54,OmkostningsExpenseTabel[#Data],2,FALSE))</f>
        <v/>
      </c>
      <c r="H138" s="277">
        <f>IF(ProjektStart &gt;  DATE(FirstYear+1, 12, 31),  DATE(FirstYear+1, 1, 1), MAX(ProjektStart,DATE(FirstYear+1, 1, 1)))</f>
        <v>44562</v>
      </c>
      <c r="I138" s="277">
        <f>IF(ProjektSlut &lt;  DATE(FirstYear+1, 1, 1),  DATE(FirstYear+1, 12, 31), MIN(ProjektSlut,DATE(FirstYear+1, 12, 31)))</f>
        <v>44926</v>
      </c>
      <c r="M138" s="278" t="b">
        <v>0</v>
      </c>
    </row>
    <row r="139" spans="1:13" x14ac:dyDescent="0.25">
      <c r="A139" s="278" t="str">
        <f>IF(Budget!$C$54="", "", INDEX(Partnere!$A$2:$A$12, MATCH(Budget!$C$54, Partnere!$F$2:$F$12, 0)))</f>
        <v/>
      </c>
      <c r="B139" s="279" t="str">
        <f>IF(Budget!$F$54="", "", ROUND(Budget!$F$54,0))</f>
        <v/>
      </c>
      <c r="C139" s="281" t="s">
        <v>715</v>
      </c>
      <c r="D139" s="278" t="str">
        <f>IF(Budget!$A$54="","",VLOOKUP(Budget!$A$54,OmkostningsExpenseTabel[#Data],2,FALSE))</f>
        <v/>
      </c>
      <c r="H139" s="277">
        <f>IF(ProjektStart &gt;  DATE(FirstYear+2, 12, 31),  DATE(FirstYear+2, 1, 1), MAX(ProjektStart,DATE(FirstYear+2, 1, 1)))</f>
        <v>44927</v>
      </c>
      <c r="I139" s="277">
        <f>IF(ProjektSlut &lt;  DATE(FirstYear+2, 1, 1),  DATE(FirstYear+2, 12, 31), MIN(ProjektSlut,DATE(FirstYear+2, 12, 31)))</f>
        <v>45291</v>
      </c>
      <c r="M139" s="278" t="b">
        <v>0</v>
      </c>
    </row>
    <row r="140" spans="1:13" x14ac:dyDescent="0.25">
      <c r="A140" s="278" t="str">
        <f>IF(Budget!$C$54="", "", INDEX(Partnere!$A$2:$A$12, MATCH(Budget!$C$54, Partnere!$F$2:$F$12, 0)))</f>
        <v/>
      </c>
      <c r="B140" s="279" t="str">
        <f>IF(Budget!$G$54="", "", ROUND(Budget!$G$54,0))</f>
        <v/>
      </c>
      <c r="C140" s="281" t="s">
        <v>715</v>
      </c>
      <c r="D140" s="278" t="str">
        <f>IF(Budget!$A$54="","",VLOOKUP(Budget!$A$54,OmkostningsExpenseTabel[#Data],2,FALSE))</f>
        <v/>
      </c>
      <c r="H140" s="277">
        <f>IF(ProjektStart &gt;  DATE(FirstYear+3, 12, 31),  DATE(FirstYear+3, 1, 1), MAX(ProjektStart,DATE(FirstYear+3, 1, 1)))</f>
        <v>45292</v>
      </c>
      <c r="I140" s="277">
        <f>IF(ProjektSlut &lt;  DATE(FirstYear+3, 1, 1),  DATE(FirstYear+3, 12, 31), MIN(ProjektSlut,DATE(FirstYear+3, 12, 31)))</f>
        <v>45657</v>
      </c>
      <c r="M140" s="278" t="b">
        <v>0</v>
      </c>
    </row>
    <row r="141" spans="1:13" x14ac:dyDescent="0.25">
      <c r="A141" s="278" t="str">
        <f>IF(Budget!$C$54="", "", INDEX(Partnere!$A$2:$A$12, MATCH(Budget!$C$54, Partnere!$F$2:$F$12, 0)))</f>
        <v/>
      </c>
      <c r="B141" s="279" t="str">
        <f>IF(Budget!$H$54="", "", ROUND(Budget!$H$54,0))</f>
        <v/>
      </c>
      <c r="C141" s="281" t="s">
        <v>715</v>
      </c>
      <c r="D141" s="278" t="str">
        <f>IF(Budget!$A$54="","",VLOOKUP(Budget!$A$54,OmkostningsExpenseTabel[#Data],2,FALSE))</f>
        <v/>
      </c>
      <c r="H141" s="277">
        <f>IF(ProjektStart &gt;  DATE(FirstYear+4, 12, 31),  DATE(FirstYear+4, 1, 1), MAX(ProjektStart,DATE(FirstYear+4, 1, 1)))</f>
        <v>45658</v>
      </c>
      <c r="I141" s="277">
        <f>IF(ProjektSlut &lt;  DATE(FirstYear+4, 1, 1),  DATE(FirstYear+4, 12, 31), MIN(ProjektSlut,DATE(FirstYear+4, 12, 31)))</f>
        <v>46022</v>
      </c>
      <c r="M141" s="278" t="b">
        <v>0</v>
      </c>
    </row>
    <row r="142" spans="1:13" s="281" customFormat="1" x14ac:dyDescent="0.25">
      <c r="A142" s="278" t="str">
        <f>IF(Budget!$C$54="", "", INDEX(Partnere!$A$2:$A$12, MATCH(Budget!$C$54, Partnere!$F$2:$F$12, 0)))</f>
        <v/>
      </c>
      <c r="B142" s="280" t="str">
        <f>IF(Budget!$I$54="", "", ROUND(Budget!$I$54,0))</f>
        <v/>
      </c>
      <c r="C142" s="281" t="s">
        <v>715</v>
      </c>
      <c r="D142" s="281" t="str">
        <f>IF(Budget!$A$54="","",VLOOKUP(Budget!$A$54,OmkostningsExpenseTabel[#Data],2,FALSE))</f>
        <v/>
      </c>
      <c r="H142" s="282">
        <f>IF(ProjektStart &gt;  DATE(FirstYear+5, 12, 31),  DATE(FirstYear+5, 1, 1), MAX(ProjektStart,DATE(FirstYear+5, 1, 1)))</f>
        <v>46023</v>
      </c>
      <c r="I142" s="282">
        <f>IF(ProjektSlut &lt;  DATE(FirstYear+5, 1, 1),  DATE(FirstYear+5, 12, 31), MIN(ProjektSlut,DATE(FirstYear+5, 12, 31)))</f>
        <v>46387</v>
      </c>
      <c r="M142" s="278" t="b">
        <v>0</v>
      </c>
    </row>
    <row r="143" spans="1:13" s="281" customFormat="1" x14ac:dyDescent="0.25">
      <c r="A143" s="278" t="str">
        <f>IF(Budget!$C$54="", "", INDEX(Partnere!$A$2:$A$12, MATCH(Budget!$C$54, Partnere!$F$2:$F$12, 0)))</f>
        <v/>
      </c>
      <c r="B143" s="280" t="str">
        <f>IF(Budget!$J$54="", "", ROUND(Budget!$J$54,0))</f>
        <v/>
      </c>
      <c r="C143" s="281" t="s">
        <v>715</v>
      </c>
      <c r="D143" s="281" t="str">
        <f>IF(Budget!$A$54="","",VLOOKUP(Budget!$A$54,OmkostningsExpenseTabel[#Data],2,FALSE))</f>
        <v/>
      </c>
      <c r="H143" s="277">
        <f>IF(ProjektStart &gt;  DATE(FirstYear+6, 12, 31),  DATE(FirstYear+6, 1, 1), MAX(ProjektStart,DATE(FirstYear+6, 1, 1)))</f>
        <v>46388</v>
      </c>
      <c r="I143" s="277">
        <f>IF(ProjektSlut &lt;  DATE(FirstYear+6, 1, 1),  DATE(FirstYear+6, 12, 31), MIN(ProjektSlut,DATE(FirstYear+6, 12, 31)))</f>
        <v>46752</v>
      </c>
      <c r="M143" s="278" t="b">
        <v>0</v>
      </c>
    </row>
    <row r="144" spans="1:13" s="281" customFormat="1" x14ac:dyDescent="0.25">
      <c r="A144" s="278" t="str">
        <f>IF(Budget!$C$54="", "", INDEX(Partnere!$A$2:$A$12, MATCH(Budget!$C$54, Partnere!$F$2:$F$12, 0)))</f>
        <v/>
      </c>
      <c r="B144" s="280" t="str">
        <f>IF(Budget!$K$54="", "", ROUND(Budget!$K$54,0))</f>
        <v/>
      </c>
      <c r="C144" s="281" t="s">
        <v>715</v>
      </c>
      <c r="D144" s="281" t="str">
        <f>IF(Budget!$A$54="","",VLOOKUP(Budget!$A$54,OmkostningsExpenseTabel[#Data],2,FALSE))</f>
        <v/>
      </c>
      <c r="H144" s="277">
        <f>IF(ProjektStart &gt;  DATE(FirstYear+7, 12, 31),  DATE(FirstYear+7, 1, 1), MAX(ProjektStart,DATE(FirstYear+7, 1, 1)))</f>
        <v>46753</v>
      </c>
      <c r="I144" s="277">
        <f>IF(ProjektSlut &lt;  DATE(FirstYear+7, 1, 1),  DATE(FirstYear+7, 12, 31), MIN(ProjektSlut,DATE(FirstYear+7, 12, 31)))</f>
        <v>47118</v>
      </c>
      <c r="M144" s="278" t="b">
        <v>0</v>
      </c>
    </row>
    <row r="145" spans="1:13" s="281" customFormat="1" x14ac:dyDescent="0.25">
      <c r="A145" s="278" t="str">
        <f>IF(Budget!$C$54="", "", INDEX(Partnere!$A$2:$A$12, MATCH(Budget!$C$54, Partnere!$F$2:$F$12, 0)))</f>
        <v/>
      </c>
      <c r="B145" s="280" t="str">
        <f>IF(Budget!$L$54="", "", ROUND(Budget!$L$54,0))</f>
        <v/>
      </c>
      <c r="C145" s="281" t="s">
        <v>715</v>
      </c>
      <c r="D145" s="281" t="str">
        <f>IF(Budget!$A$54="","",VLOOKUP(Budget!$A$54,OmkostningsExpenseTabel[#Data],2,FALSE))</f>
        <v/>
      </c>
      <c r="H145" s="277">
        <f>IF(ProjektStart &gt;  DATE(FirstYear+8, 12, 31),  DATE(FirstYear+8, 1, 1), MAX(ProjektStart,DATE(FirstYear+8, 1, 1)))</f>
        <v>47119</v>
      </c>
      <c r="I145" s="277">
        <f>IF(ProjektSlut &lt;  DATE(FirstYear+8, 1, 1),  DATE(FirstYear+8, 12, 31), MIN(ProjektSlut,DATE(FirstYear+8, 12, 31)))</f>
        <v>47483</v>
      </c>
      <c r="M145" s="278" t="b">
        <v>0</v>
      </c>
    </row>
    <row r="146" spans="1:13" x14ac:dyDescent="0.25">
      <c r="A146" s="278" t="str">
        <f>IF(Budget!$C$55="", "", INDEX(Partnere!$A$2:$A$12, MATCH(Budget!$C$55, Partnere!$F$2:$F$12, 0)))</f>
        <v/>
      </c>
      <c r="B146" s="279" t="str">
        <f>IF(Budget!$D$55="", "", ROUND(Budget!$D$55,0))</f>
        <v/>
      </c>
      <c r="C146" s="281" t="s">
        <v>715</v>
      </c>
      <c r="D146" s="278" t="str">
        <f>IF(Budget!$A$55="","",VLOOKUP(Budget!$A$55,OmkostningsExpenseTabel[#Data],2,FALSE))</f>
        <v/>
      </c>
      <c r="H146" s="277">
        <f>IF(ProjektStart &gt;  DATE(FirstYear, 12, 31),  DATE(FirstYear, 1, 1), MAX(ProjektStart,DATE(FirstYear, 1, 1)))</f>
        <v>44197</v>
      </c>
      <c r="I146" s="277">
        <f>IF(ProjektSlut &lt;  DATE(FirstYear, 1, 1),  DATE(FirstYear, 12, 31), MIN(ProjektSlut,DATE(FirstYear, 12, 31)))</f>
        <v>44561</v>
      </c>
      <c r="M146" s="278" t="b">
        <v>0</v>
      </c>
    </row>
    <row r="147" spans="1:13" x14ac:dyDescent="0.25">
      <c r="A147" s="278" t="str">
        <f>IF(Budget!$C$55="", "", INDEX(Partnere!$A$2:$A$12, MATCH(Budget!$C$55, Partnere!$F$2:$F$12, 0)))</f>
        <v/>
      </c>
      <c r="B147" s="279" t="str">
        <f>IF(Budget!$E$55="", "", ROUND(Budget!$E$55,0))</f>
        <v/>
      </c>
      <c r="C147" s="281" t="s">
        <v>715</v>
      </c>
      <c r="D147" s="278" t="str">
        <f>IF(Budget!$A$55="","",VLOOKUP(Budget!$A$55,OmkostningsExpenseTabel[#Data],2,FALSE))</f>
        <v/>
      </c>
      <c r="H147" s="277">
        <f>IF(ProjektStart &gt;  DATE(FirstYear+1, 12, 31),  DATE(FirstYear+1, 1, 1), MAX(ProjektStart,DATE(FirstYear+1, 1, 1)))</f>
        <v>44562</v>
      </c>
      <c r="I147" s="277">
        <f>IF(ProjektSlut &lt;  DATE(FirstYear+1, 1, 1),  DATE(FirstYear+1, 12, 31), MIN(ProjektSlut,DATE(FirstYear+1, 12, 31)))</f>
        <v>44926</v>
      </c>
      <c r="M147" s="278" t="b">
        <v>0</v>
      </c>
    </row>
    <row r="148" spans="1:13" x14ac:dyDescent="0.25">
      <c r="A148" s="278" t="str">
        <f>IF(Budget!$C$55="", "", INDEX(Partnere!$A$2:$A$12, MATCH(Budget!$C$55, Partnere!$F$2:$F$12, 0)))</f>
        <v/>
      </c>
      <c r="B148" s="279" t="str">
        <f>IF(Budget!$F$55="", "", ROUND(Budget!$F$55,0))</f>
        <v/>
      </c>
      <c r="C148" s="281" t="s">
        <v>715</v>
      </c>
      <c r="D148" s="278" t="str">
        <f>IF(Budget!$A$55="","",VLOOKUP(Budget!$A$55,OmkostningsExpenseTabel[#Data],2,FALSE))</f>
        <v/>
      </c>
      <c r="H148" s="277">
        <f>IF(ProjektStart &gt;  DATE(FirstYear+2, 12, 31),  DATE(FirstYear+2, 1, 1), MAX(ProjektStart,DATE(FirstYear+2, 1, 1)))</f>
        <v>44927</v>
      </c>
      <c r="I148" s="277">
        <f>IF(ProjektSlut &lt;  DATE(FirstYear+2, 1, 1),  DATE(FirstYear+2, 12, 31), MIN(ProjektSlut,DATE(FirstYear+2, 12, 31)))</f>
        <v>45291</v>
      </c>
      <c r="M148" s="278" t="b">
        <v>0</v>
      </c>
    </row>
    <row r="149" spans="1:13" x14ac:dyDescent="0.25">
      <c r="A149" s="278" t="str">
        <f>IF(Budget!$C$55="", "", INDEX(Partnere!$A$2:$A$12, MATCH(Budget!$C$55, Partnere!$F$2:$F$12, 0)))</f>
        <v/>
      </c>
      <c r="B149" s="279" t="str">
        <f>IF(Budget!$G$55="", "", ROUND(Budget!$G$55,0))</f>
        <v/>
      </c>
      <c r="C149" s="281" t="s">
        <v>715</v>
      </c>
      <c r="D149" s="278" t="str">
        <f>IF(Budget!$A$55="","",VLOOKUP(Budget!$A$55,OmkostningsExpenseTabel[#Data],2,FALSE))</f>
        <v/>
      </c>
      <c r="H149" s="277">
        <f>IF(ProjektStart &gt;  DATE(FirstYear+3, 12, 31),  DATE(FirstYear+3, 1, 1), MAX(ProjektStart,DATE(FirstYear+3, 1, 1)))</f>
        <v>45292</v>
      </c>
      <c r="I149" s="277">
        <f>IF(ProjektSlut &lt;  DATE(FirstYear+3, 1, 1),  DATE(FirstYear+3, 12, 31), MIN(ProjektSlut,DATE(FirstYear+3, 12, 31)))</f>
        <v>45657</v>
      </c>
      <c r="M149" s="278" t="b">
        <v>0</v>
      </c>
    </row>
    <row r="150" spans="1:13" x14ac:dyDescent="0.25">
      <c r="A150" s="278" t="str">
        <f>IF(Budget!$C$55="", "", INDEX(Partnere!$A$2:$A$12, MATCH(Budget!$C$55, Partnere!$F$2:$F$12, 0)))</f>
        <v/>
      </c>
      <c r="B150" s="279" t="str">
        <f>IF(Budget!$H$55="", "", ROUND(Budget!$H$55,0))</f>
        <v/>
      </c>
      <c r="C150" s="281" t="s">
        <v>715</v>
      </c>
      <c r="D150" s="278" t="str">
        <f>IF(Budget!$A$55="","",VLOOKUP(Budget!$A$55,OmkostningsExpenseTabel[#Data],2,FALSE))</f>
        <v/>
      </c>
      <c r="H150" s="277">
        <f>IF(ProjektStart &gt;  DATE(FirstYear+4, 12, 31),  DATE(FirstYear+4, 1, 1), MAX(ProjektStart,DATE(FirstYear+4, 1, 1)))</f>
        <v>45658</v>
      </c>
      <c r="I150" s="277">
        <f>IF(ProjektSlut &lt;  DATE(FirstYear+4, 1, 1),  DATE(FirstYear+4, 12, 31), MIN(ProjektSlut,DATE(FirstYear+4, 12, 31)))</f>
        <v>46022</v>
      </c>
      <c r="M150" s="278" t="b">
        <v>0</v>
      </c>
    </row>
    <row r="151" spans="1:13" s="281" customFormat="1" x14ac:dyDescent="0.25">
      <c r="A151" s="278" t="str">
        <f>IF(Budget!$C$55="", "", INDEX(Partnere!$A$2:$A$12, MATCH(Budget!$C$55, Partnere!$F$2:$F$12, 0)))</f>
        <v/>
      </c>
      <c r="B151" s="280" t="str">
        <f>IF(Budget!$I$55="", "", ROUND(Budget!$I$55,0))</f>
        <v/>
      </c>
      <c r="C151" s="281" t="s">
        <v>715</v>
      </c>
      <c r="D151" s="281" t="str">
        <f>IF(Budget!$A$55="","",VLOOKUP(Budget!$A$55,OmkostningsExpenseTabel[#Data],2,FALSE))</f>
        <v/>
      </c>
      <c r="H151" s="282">
        <f>IF(ProjektStart &gt;  DATE(FirstYear+5, 12, 31),  DATE(FirstYear+5, 1, 1), MAX(ProjektStart,DATE(FirstYear+5, 1, 1)))</f>
        <v>46023</v>
      </c>
      <c r="I151" s="282">
        <f>IF(ProjektSlut &lt;  DATE(FirstYear+5, 1, 1),  DATE(FirstYear+5, 12, 31), MIN(ProjektSlut,DATE(FirstYear+5, 12, 31)))</f>
        <v>46387</v>
      </c>
      <c r="M151" s="278" t="b">
        <v>0</v>
      </c>
    </row>
    <row r="152" spans="1:13" s="281" customFormat="1" x14ac:dyDescent="0.25">
      <c r="A152" s="278" t="str">
        <f>IF(Budget!$C$55="", "", INDEX(Partnere!$A$2:$A$12, MATCH(Budget!$C$55, Partnere!$F$2:$F$12, 0)))</f>
        <v/>
      </c>
      <c r="B152" s="280" t="str">
        <f>IF(Budget!$J$55="", "", ROUND(Budget!$J$55,0))</f>
        <v/>
      </c>
      <c r="C152" s="281" t="s">
        <v>715</v>
      </c>
      <c r="D152" s="281" t="str">
        <f>IF(Budget!$A$55="","",VLOOKUP(Budget!$A$55,OmkostningsExpenseTabel[#Data],2,FALSE))</f>
        <v/>
      </c>
      <c r="H152" s="277">
        <f>IF(ProjektStart &gt;  DATE(FirstYear+6, 12, 31),  DATE(FirstYear+6, 1, 1), MAX(ProjektStart,DATE(FirstYear+6, 1, 1)))</f>
        <v>46388</v>
      </c>
      <c r="I152" s="277">
        <f>IF(ProjektSlut &lt;  DATE(FirstYear+6, 1, 1),  DATE(FirstYear+6, 12, 31), MIN(ProjektSlut,DATE(FirstYear+6, 12, 31)))</f>
        <v>46752</v>
      </c>
      <c r="M152" s="278" t="b">
        <v>0</v>
      </c>
    </row>
    <row r="153" spans="1:13" s="281" customFormat="1" x14ac:dyDescent="0.25">
      <c r="A153" s="278" t="str">
        <f>IF(Budget!$C$55="", "", INDEX(Partnere!$A$2:$A$12, MATCH(Budget!$C$55, Partnere!$F$2:$F$12, 0)))</f>
        <v/>
      </c>
      <c r="B153" s="280" t="str">
        <f>IF(Budget!$K$55="", "", ROUND(Budget!$K$55,0))</f>
        <v/>
      </c>
      <c r="C153" s="281" t="s">
        <v>715</v>
      </c>
      <c r="D153" s="281" t="str">
        <f>IF(Budget!$A$55="","",VLOOKUP(Budget!$A$55,OmkostningsExpenseTabel[#Data],2,FALSE))</f>
        <v/>
      </c>
      <c r="H153" s="277">
        <f>IF(ProjektStart &gt;  DATE(FirstYear+7, 12, 31),  DATE(FirstYear+7, 1, 1), MAX(ProjektStart,DATE(FirstYear+7, 1, 1)))</f>
        <v>46753</v>
      </c>
      <c r="I153" s="277">
        <f>IF(ProjektSlut &lt;  DATE(FirstYear+7, 1, 1),  DATE(FirstYear+7, 12, 31), MIN(ProjektSlut,DATE(FirstYear+7, 12, 31)))</f>
        <v>47118</v>
      </c>
      <c r="M153" s="278" t="b">
        <v>0</v>
      </c>
    </row>
    <row r="154" spans="1:13" s="281" customFormat="1" x14ac:dyDescent="0.25">
      <c r="A154" s="278" t="str">
        <f>IF(Budget!$C$55="", "", INDEX(Partnere!$A$2:$A$12, MATCH(Budget!$C$55, Partnere!$F$2:$F$12, 0)))</f>
        <v/>
      </c>
      <c r="B154" s="280" t="str">
        <f>IF(Budget!$L$55="", "", ROUND(Budget!$L$55,0))</f>
        <v/>
      </c>
      <c r="C154" s="281" t="s">
        <v>715</v>
      </c>
      <c r="D154" s="281" t="str">
        <f>IF(Budget!$A$55="","",VLOOKUP(Budget!$A$55,OmkostningsExpenseTabel[#Data],2,FALSE))</f>
        <v/>
      </c>
      <c r="H154" s="277">
        <f>IF(ProjektStart &gt;  DATE(FirstYear+8, 12, 31),  DATE(FirstYear+8, 1, 1), MAX(ProjektStart,DATE(FirstYear+8, 1, 1)))</f>
        <v>47119</v>
      </c>
      <c r="I154" s="277">
        <f>IF(ProjektSlut &lt;  DATE(FirstYear+8, 1, 1),  DATE(FirstYear+8, 12, 31), MIN(ProjektSlut,DATE(FirstYear+8, 12, 31)))</f>
        <v>47483</v>
      </c>
      <c r="M154" s="278" t="b">
        <v>0</v>
      </c>
    </row>
    <row r="155" spans="1:13" x14ac:dyDescent="0.25">
      <c r="A155" s="278" t="str">
        <f>IF(Budget!$C$56="", "", INDEX(Partnere!$A$2:$A$12, MATCH(Budget!$C$56, Partnere!$F$2:$F$12, 0)))</f>
        <v/>
      </c>
      <c r="B155" s="279" t="str">
        <f>IF(Budget!$D$56="", "", ROUND(Budget!$D$56,0))</f>
        <v/>
      </c>
      <c r="C155" s="281" t="s">
        <v>715</v>
      </c>
      <c r="D155" s="278" t="str">
        <f>IF(Budget!$A$56="","",VLOOKUP(Budget!$A$56,OmkostningsExpenseTabel[#Data],2,FALSE))</f>
        <v/>
      </c>
      <c r="H155" s="277">
        <f>IF(ProjektStart &gt;  DATE(FirstYear, 12, 31),  DATE(FirstYear, 1, 1), MAX(ProjektStart,DATE(FirstYear, 1, 1)))</f>
        <v>44197</v>
      </c>
      <c r="I155" s="277">
        <f>IF(ProjektSlut &lt;  DATE(FirstYear, 1, 1),  DATE(FirstYear, 12, 31), MIN(ProjektSlut,DATE(FirstYear, 12, 31)))</f>
        <v>44561</v>
      </c>
      <c r="M155" s="278" t="b">
        <v>0</v>
      </c>
    </row>
    <row r="156" spans="1:13" x14ac:dyDescent="0.25">
      <c r="A156" s="278" t="str">
        <f>IF(Budget!$C$56="", "", INDEX(Partnere!$A$2:$A$12, MATCH(Budget!$C$56, Partnere!$F$2:$F$12, 0)))</f>
        <v/>
      </c>
      <c r="B156" s="279" t="str">
        <f>IF(Budget!$E$56="", "", ROUND(Budget!$E$56,0))</f>
        <v/>
      </c>
      <c r="C156" s="281" t="s">
        <v>715</v>
      </c>
      <c r="D156" s="278" t="str">
        <f>IF(Budget!$A$56="","",VLOOKUP(Budget!$A$56,OmkostningsExpenseTabel[#Data],2,FALSE))</f>
        <v/>
      </c>
      <c r="H156" s="277">
        <f>IF(ProjektStart &gt;  DATE(FirstYear+1, 12, 31),  DATE(FirstYear+1, 1, 1), MAX(ProjektStart,DATE(FirstYear+1, 1, 1)))</f>
        <v>44562</v>
      </c>
      <c r="I156" s="277">
        <f>IF(ProjektSlut &lt;  DATE(FirstYear+1, 1, 1),  DATE(FirstYear+1, 12, 31), MIN(ProjektSlut,DATE(FirstYear+1, 12, 31)))</f>
        <v>44926</v>
      </c>
      <c r="M156" s="278" t="b">
        <v>0</v>
      </c>
    </row>
    <row r="157" spans="1:13" x14ac:dyDescent="0.25">
      <c r="A157" s="278" t="str">
        <f>IF(Budget!$C$56="", "", INDEX(Partnere!$A$2:$A$12, MATCH(Budget!$C$56, Partnere!$F$2:$F$12, 0)))</f>
        <v/>
      </c>
      <c r="B157" s="279" t="str">
        <f>IF(Budget!$F$56="", "", ROUND(Budget!$F$56,0))</f>
        <v/>
      </c>
      <c r="C157" s="281" t="s">
        <v>715</v>
      </c>
      <c r="D157" s="278" t="str">
        <f>IF(Budget!$A$56="","",VLOOKUP(Budget!$A$56,OmkostningsExpenseTabel[#Data],2,FALSE))</f>
        <v/>
      </c>
      <c r="H157" s="277">
        <f>IF(ProjektStart &gt;  DATE(FirstYear+2, 12, 31),  DATE(FirstYear+2, 1, 1), MAX(ProjektStart,DATE(FirstYear+2, 1, 1)))</f>
        <v>44927</v>
      </c>
      <c r="I157" s="277">
        <f>IF(ProjektSlut &lt;  DATE(FirstYear+2, 1, 1),  DATE(FirstYear+2, 12, 31), MIN(ProjektSlut,DATE(FirstYear+2, 12, 31)))</f>
        <v>45291</v>
      </c>
      <c r="M157" s="278" t="b">
        <v>0</v>
      </c>
    </row>
    <row r="158" spans="1:13" x14ac:dyDescent="0.25">
      <c r="A158" s="278" t="str">
        <f>IF(Budget!$C$56="", "", INDEX(Partnere!$A$2:$A$12, MATCH(Budget!$C$56, Partnere!$F$2:$F$12, 0)))</f>
        <v/>
      </c>
      <c r="B158" s="279" t="str">
        <f>IF(Budget!$G$56="", "", ROUND(Budget!$G$56,0))</f>
        <v/>
      </c>
      <c r="C158" s="281" t="s">
        <v>715</v>
      </c>
      <c r="D158" s="278" t="str">
        <f>IF(Budget!$A$56="","",VLOOKUP(Budget!$A$56,OmkostningsExpenseTabel[#Data],2,FALSE))</f>
        <v/>
      </c>
      <c r="H158" s="277">
        <f>IF(ProjektStart &gt;  DATE(FirstYear+3, 12, 31),  DATE(FirstYear+3, 1, 1), MAX(ProjektStart,DATE(FirstYear+3, 1, 1)))</f>
        <v>45292</v>
      </c>
      <c r="I158" s="277">
        <f>IF(ProjektSlut &lt;  DATE(FirstYear+3, 1, 1),  DATE(FirstYear+3, 12, 31), MIN(ProjektSlut,DATE(FirstYear+3, 12, 31)))</f>
        <v>45657</v>
      </c>
      <c r="M158" s="278" t="b">
        <v>0</v>
      </c>
    </row>
    <row r="159" spans="1:13" x14ac:dyDescent="0.25">
      <c r="A159" s="278" t="str">
        <f>IF(Budget!$C$56="", "", INDEX(Partnere!$A$2:$A$12, MATCH(Budget!$C$56, Partnere!$F$2:$F$12, 0)))</f>
        <v/>
      </c>
      <c r="B159" s="279" t="str">
        <f>IF(Budget!$H$56="", "", ROUND(Budget!$H$56,0))</f>
        <v/>
      </c>
      <c r="C159" s="281" t="s">
        <v>715</v>
      </c>
      <c r="D159" s="278" t="str">
        <f>IF(Budget!$A$56="","",VLOOKUP(Budget!$A$56,OmkostningsExpenseTabel[#Data],2,FALSE))</f>
        <v/>
      </c>
      <c r="H159" s="277">
        <f>IF(ProjektStart &gt;  DATE(FirstYear+4, 12, 31),  DATE(FirstYear+4, 1, 1), MAX(ProjektStart,DATE(FirstYear+4, 1, 1)))</f>
        <v>45658</v>
      </c>
      <c r="I159" s="277">
        <f>IF(ProjektSlut &lt;  DATE(FirstYear+4, 1, 1),  DATE(FirstYear+4, 12, 31), MIN(ProjektSlut,DATE(FirstYear+4, 12, 31)))</f>
        <v>46022</v>
      </c>
      <c r="M159" s="278" t="b">
        <v>0</v>
      </c>
    </row>
    <row r="160" spans="1:13" s="281" customFormat="1" x14ac:dyDescent="0.25">
      <c r="A160" s="278" t="str">
        <f>IF(Budget!$C$56="", "", INDEX(Partnere!$A$2:$A$12, MATCH(Budget!$C$56, Partnere!$F$2:$F$12, 0)))</f>
        <v/>
      </c>
      <c r="B160" s="280" t="str">
        <f>IF(Budget!$I$56="", "", ROUND(Budget!$I$56,0))</f>
        <v/>
      </c>
      <c r="C160" s="281" t="s">
        <v>715</v>
      </c>
      <c r="D160" s="281" t="str">
        <f>IF(Budget!$A$56="","",VLOOKUP(Budget!$A$56,OmkostningsExpenseTabel[#Data],2,FALSE))</f>
        <v/>
      </c>
      <c r="H160" s="282">
        <f>IF(ProjektStart &gt;  DATE(FirstYear+5, 12, 31),  DATE(FirstYear+5, 1, 1), MAX(ProjektStart,DATE(FirstYear+5, 1, 1)))</f>
        <v>46023</v>
      </c>
      <c r="I160" s="282">
        <f>IF(ProjektSlut &lt;  DATE(FirstYear+5, 1, 1),  DATE(FirstYear+5, 12, 31), MIN(ProjektSlut,DATE(FirstYear+5, 12, 31)))</f>
        <v>46387</v>
      </c>
      <c r="M160" s="278" t="b">
        <v>0</v>
      </c>
    </row>
    <row r="161" spans="1:13" s="281" customFormat="1" x14ac:dyDescent="0.25">
      <c r="A161" s="278" t="str">
        <f>IF(Budget!$C$56="", "", INDEX(Partnere!$A$2:$A$12, MATCH(Budget!$C$56, Partnere!$F$2:$F$12, 0)))</f>
        <v/>
      </c>
      <c r="B161" s="280" t="str">
        <f>IF(Budget!$J$56="", "", ROUND(Budget!$J$56,0))</f>
        <v/>
      </c>
      <c r="C161" s="281" t="s">
        <v>715</v>
      </c>
      <c r="D161" s="281" t="str">
        <f>IF(Budget!$A$56="","",VLOOKUP(Budget!$A$56,OmkostningsExpenseTabel[#Data],2,FALSE))</f>
        <v/>
      </c>
      <c r="H161" s="277">
        <f>IF(ProjektStart &gt;  DATE(FirstYear+6, 12, 31),  DATE(FirstYear+6, 1, 1), MAX(ProjektStart,DATE(FirstYear+6, 1, 1)))</f>
        <v>46388</v>
      </c>
      <c r="I161" s="277">
        <f>IF(ProjektSlut &lt;  DATE(FirstYear+6, 1, 1),  DATE(FirstYear+6, 12, 31), MIN(ProjektSlut,DATE(FirstYear+6, 12, 31)))</f>
        <v>46752</v>
      </c>
      <c r="M161" s="278" t="b">
        <v>0</v>
      </c>
    </row>
    <row r="162" spans="1:13" s="281" customFormat="1" x14ac:dyDescent="0.25">
      <c r="A162" s="278" t="str">
        <f>IF(Budget!$C$56="", "", INDEX(Partnere!$A$2:$A$12, MATCH(Budget!$C$56, Partnere!$F$2:$F$12, 0)))</f>
        <v/>
      </c>
      <c r="B162" s="280" t="str">
        <f>IF(Budget!$K$56="", "", ROUND(Budget!$K$56,0))</f>
        <v/>
      </c>
      <c r="C162" s="281" t="s">
        <v>715</v>
      </c>
      <c r="D162" s="281" t="str">
        <f>IF(Budget!$A$56="","",VLOOKUP(Budget!$A$56,OmkostningsExpenseTabel[#Data],2,FALSE))</f>
        <v/>
      </c>
      <c r="H162" s="277">
        <f>IF(ProjektStart &gt;  DATE(FirstYear+7, 12, 31),  DATE(FirstYear+7, 1, 1), MAX(ProjektStart,DATE(FirstYear+7, 1, 1)))</f>
        <v>46753</v>
      </c>
      <c r="I162" s="277">
        <f>IF(ProjektSlut &lt;  DATE(FirstYear+7, 1, 1),  DATE(FirstYear+7, 12, 31), MIN(ProjektSlut,DATE(FirstYear+7, 12, 31)))</f>
        <v>47118</v>
      </c>
      <c r="M162" s="278" t="b">
        <v>0</v>
      </c>
    </row>
    <row r="163" spans="1:13" s="281" customFormat="1" x14ac:dyDescent="0.25">
      <c r="A163" s="278" t="str">
        <f>IF(Budget!$C$56="", "", INDEX(Partnere!$A$2:$A$12, MATCH(Budget!$C$56, Partnere!$F$2:$F$12, 0)))</f>
        <v/>
      </c>
      <c r="B163" s="280" t="str">
        <f>IF(Budget!$L$56="", "", ROUND(Budget!$L$56,0))</f>
        <v/>
      </c>
      <c r="C163" s="281" t="s">
        <v>715</v>
      </c>
      <c r="D163" s="281" t="str">
        <f>IF(Budget!$A$56="","",VLOOKUP(Budget!$A$56,OmkostningsExpenseTabel[#Data],2,FALSE))</f>
        <v/>
      </c>
      <c r="H163" s="277">
        <f>IF(ProjektStart &gt;  DATE(FirstYear+8, 12, 31),  DATE(FirstYear+8, 1, 1), MAX(ProjektStart,DATE(FirstYear+8, 1, 1)))</f>
        <v>47119</v>
      </c>
      <c r="I163" s="277">
        <f>IF(ProjektSlut &lt;  DATE(FirstYear+8, 1, 1),  DATE(FirstYear+8, 12, 31), MIN(ProjektSlut,DATE(FirstYear+8, 12, 31)))</f>
        <v>47483</v>
      </c>
      <c r="M163" s="278" t="b">
        <v>0</v>
      </c>
    </row>
    <row r="164" spans="1:13" x14ac:dyDescent="0.25">
      <c r="A164" s="278" t="str">
        <f>IF(Budget!$C$57="", "", INDEX(Partnere!$A$2:$A$12, MATCH(Budget!$C$57, Partnere!$F$2:$F$12, 0)))</f>
        <v/>
      </c>
      <c r="B164" s="279" t="str">
        <f>IF(Budget!$D$57="", "", ROUND(Budget!$D$57,0))</f>
        <v/>
      </c>
      <c r="C164" s="281" t="s">
        <v>715</v>
      </c>
      <c r="D164" s="278" t="str">
        <f>IF(Budget!$A$57="","",VLOOKUP(Budget!$A$57,OmkostningsExpenseTabel[#Data],2,FALSE))</f>
        <v/>
      </c>
      <c r="H164" s="277">
        <f>IF(ProjektStart &gt;  DATE(FirstYear, 12, 31),  DATE(FirstYear, 1, 1), MAX(ProjektStart,DATE(FirstYear, 1, 1)))</f>
        <v>44197</v>
      </c>
      <c r="I164" s="277">
        <f>IF(ProjektSlut &lt;  DATE(FirstYear, 1, 1),  DATE(FirstYear, 12, 31), MIN(ProjektSlut,DATE(FirstYear, 12, 31)))</f>
        <v>44561</v>
      </c>
      <c r="M164" s="278" t="b">
        <v>0</v>
      </c>
    </row>
    <row r="165" spans="1:13" x14ac:dyDescent="0.25">
      <c r="A165" s="278" t="str">
        <f>IF(Budget!$C$57="", "", INDEX(Partnere!$A$2:$A$12, MATCH(Budget!$C$57, Partnere!$F$2:$F$12, 0)))</f>
        <v/>
      </c>
      <c r="B165" s="279" t="str">
        <f>IF(Budget!$E$57="", "", ROUND(Budget!$E$57,0))</f>
        <v/>
      </c>
      <c r="C165" s="281" t="s">
        <v>715</v>
      </c>
      <c r="D165" s="278" t="str">
        <f>IF(Budget!$A$57="","",VLOOKUP(Budget!$A$57,OmkostningsExpenseTabel[#Data],2,FALSE))</f>
        <v/>
      </c>
      <c r="H165" s="277">
        <f>IF(ProjektStart &gt;  DATE(FirstYear+1, 12, 31),  DATE(FirstYear+1, 1, 1), MAX(ProjektStart,DATE(FirstYear+1, 1, 1)))</f>
        <v>44562</v>
      </c>
      <c r="I165" s="277">
        <f>IF(ProjektSlut &lt;  DATE(FirstYear+1, 1, 1),  DATE(FirstYear+1, 12, 31), MIN(ProjektSlut,DATE(FirstYear+1, 12, 31)))</f>
        <v>44926</v>
      </c>
      <c r="M165" s="278" t="b">
        <v>0</v>
      </c>
    </row>
    <row r="166" spans="1:13" x14ac:dyDescent="0.25">
      <c r="A166" s="278" t="str">
        <f>IF(Budget!$C$57="", "", INDEX(Partnere!$A$2:$A$12, MATCH(Budget!$C$57, Partnere!$F$2:$F$12, 0)))</f>
        <v/>
      </c>
      <c r="B166" s="279" t="str">
        <f>IF(Budget!$F$57="", "", ROUND(Budget!$F$57,0))</f>
        <v/>
      </c>
      <c r="C166" s="281" t="s">
        <v>715</v>
      </c>
      <c r="D166" s="278" t="str">
        <f>IF(Budget!$A$57="","",VLOOKUP(Budget!$A$57,OmkostningsExpenseTabel[#Data],2,FALSE))</f>
        <v/>
      </c>
      <c r="H166" s="277">
        <f>IF(ProjektStart &gt;  DATE(FirstYear+2, 12, 31),  DATE(FirstYear+2, 1, 1), MAX(ProjektStart,DATE(FirstYear+2, 1, 1)))</f>
        <v>44927</v>
      </c>
      <c r="I166" s="277">
        <f>IF(ProjektSlut &lt;  DATE(FirstYear+2, 1, 1),  DATE(FirstYear+2, 12, 31), MIN(ProjektSlut,DATE(FirstYear+2, 12, 31)))</f>
        <v>45291</v>
      </c>
      <c r="M166" s="278" t="b">
        <v>0</v>
      </c>
    </row>
    <row r="167" spans="1:13" x14ac:dyDescent="0.25">
      <c r="A167" s="278" t="str">
        <f>IF(Budget!$C$57="", "", INDEX(Partnere!$A$2:$A$12, MATCH(Budget!$C$57, Partnere!$F$2:$F$12, 0)))</f>
        <v/>
      </c>
      <c r="B167" s="279" t="str">
        <f>IF(Budget!$G$57="", "", ROUND(Budget!$G$57,0))</f>
        <v/>
      </c>
      <c r="C167" s="281" t="s">
        <v>715</v>
      </c>
      <c r="D167" s="278" t="str">
        <f>IF(Budget!$A$57="","",VLOOKUP(Budget!$A$57,OmkostningsExpenseTabel[#Data],2,FALSE))</f>
        <v/>
      </c>
      <c r="H167" s="277">
        <f>IF(ProjektStart &gt;  DATE(FirstYear+3, 12, 31),  DATE(FirstYear+3, 1, 1), MAX(ProjektStart,DATE(FirstYear+3, 1, 1)))</f>
        <v>45292</v>
      </c>
      <c r="I167" s="277">
        <f>IF(ProjektSlut &lt;  DATE(FirstYear+3, 1, 1),  DATE(FirstYear+3, 12, 31), MIN(ProjektSlut,DATE(FirstYear+3, 12, 31)))</f>
        <v>45657</v>
      </c>
      <c r="M167" s="278" t="b">
        <v>0</v>
      </c>
    </row>
    <row r="168" spans="1:13" x14ac:dyDescent="0.25">
      <c r="A168" s="278" t="str">
        <f>IF(Budget!$C$57="", "", INDEX(Partnere!$A$2:$A$12, MATCH(Budget!$C$57, Partnere!$F$2:$F$12, 0)))</f>
        <v/>
      </c>
      <c r="B168" s="279" t="str">
        <f>IF(Budget!$H$57="", "", ROUND(Budget!$H$57,0))</f>
        <v/>
      </c>
      <c r="C168" s="281" t="s">
        <v>715</v>
      </c>
      <c r="D168" s="278" t="str">
        <f>IF(Budget!$A$57="","",VLOOKUP(Budget!$A$57,OmkostningsExpenseTabel[#Data],2,FALSE))</f>
        <v/>
      </c>
      <c r="H168" s="277">
        <f>IF(ProjektStart &gt;  DATE(FirstYear+4, 12, 31),  DATE(FirstYear+4, 1, 1), MAX(ProjektStart,DATE(FirstYear+4, 1, 1)))</f>
        <v>45658</v>
      </c>
      <c r="I168" s="277">
        <f>IF(ProjektSlut &lt;  DATE(FirstYear+4, 1, 1),  DATE(FirstYear+4, 12, 31), MIN(ProjektSlut,DATE(FirstYear+4, 12, 31)))</f>
        <v>46022</v>
      </c>
      <c r="M168" s="278" t="b">
        <v>0</v>
      </c>
    </row>
    <row r="169" spans="1:13" s="281" customFormat="1" x14ac:dyDescent="0.25">
      <c r="A169" s="278" t="str">
        <f>IF(Budget!$C$57="", "", INDEX(Partnere!$A$2:$A$12, MATCH(Budget!$C$57, Partnere!$F$2:$F$12, 0)))</f>
        <v/>
      </c>
      <c r="B169" s="280" t="str">
        <f>IF(Budget!$I$57="", "", ROUND(Budget!$I$57,0))</f>
        <v/>
      </c>
      <c r="C169" s="281" t="s">
        <v>715</v>
      </c>
      <c r="D169" s="281" t="str">
        <f>IF(Budget!$A$57="","",VLOOKUP(Budget!$A$57,OmkostningsExpenseTabel[#Data],2,FALSE))</f>
        <v/>
      </c>
      <c r="H169" s="282">
        <f>IF(ProjektStart &gt;  DATE(FirstYear+5, 12, 31),  DATE(FirstYear+5, 1, 1), MAX(ProjektStart,DATE(FirstYear+5, 1, 1)))</f>
        <v>46023</v>
      </c>
      <c r="I169" s="282">
        <f>IF(ProjektSlut &lt;  DATE(FirstYear+5, 1, 1),  DATE(FirstYear+5, 12, 31), MIN(ProjektSlut,DATE(FirstYear+5, 12, 31)))</f>
        <v>46387</v>
      </c>
      <c r="M169" s="278" t="b">
        <v>0</v>
      </c>
    </row>
    <row r="170" spans="1:13" s="281" customFormat="1" x14ac:dyDescent="0.25">
      <c r="A170" s="278" t="str">
        <f>IF(Budget!$C$57="", "", INDEX(Partnere!$A$2:$A$12, MATCH(Budget!$C$57, Partnere!$F$2:$F$12, 0)))</f>
        <v/>
      </c>
      <c r="B170" s="280" t="str">
        <f>IF(Budget!$J$57="", "", ROUND(Budget!$J$57,0))</f>
        <v/>
      </c>
      <c r="C170" s="281" t="s">
        <v>715</v>
      </c>
      <c r="D170" s="281" t="str">
        <f>IF(Budget!$A$57="","",VLOOKUP(Budget!$A$57,OmkostningsExpenseTabel[#Data],2,FALSE))</f>
        <v/>
      </c>
      <c r="H170" s="277">
        <f>IF(ProjektStart &gt;  DATE(FirstYear+6, 12, 31),  DATE(FirstYear+6, 1, 1), MAX(ProjektStart,DATE(FirstYear+6, 1, 1)))</f>
        <v>46388</v>
      </c>
      <c r="I170" s="277">
        <f>IF(ProjektSlut &lt;  DATE(FirstYear+6, 1, 1),  DATE(FirstYear+6, 12, 31), MIN(ProjektSlut,DATE(FirstYear+6, 12, 31)))</f>
        <v>46752</v>
      </c>
      <c r="M170" s="278" t="b">
        <v>0</v>
      </c>
    </row>
    <row r="171" spans="1:13" s="281" customFormat="1" x14ac:dyDescent="0.25">
      <c r="A171" s="278" t="str">
        <f>IF(Budget!$C$57="", "", INDEX(Partnere!$A$2:$A$12, MATCH(Budget!$C$57, Partnere!$F$2:$F$12, 0)))</f>
        <v/>
      </c>
      <c r="B171" s="280" t="str">
        <f>IF(Budget!$K$57="", "", ROUND(Budget!$K$57,0))</f>
        <v/>
      </c>
      <c r="C171" s="281" t="s">
        <v>715</v>
      </c>
      <c r="D171" s="281" t="str">
        <f>IF(Budget!$A$57="","",VLOOKUP(Budget!$A$57,OmkostningsExpenseTabel[#Data],2,FALSE))</f>
        <v/>
      </c>
      <c r="H171" s="277">
        <f>IF(ProjektStart &gt;  DATE(FirstYear+7, 12, 31),  DATE(FirstYear+7, 1, 1), MAX(ProjektStart,DATE(FirstYear+7, 1, 1)))</f>
        <v>46753</v>
      </c>
      <c r="I171" s="277">
        <f>IF(ProjektSlut &lt;  DATE(FirstYear+7, 1, 1),  DATE(FirstYear+7, 12, 31), MIN(ProjektSlut,DATE(FirstYear+7, 12, 31)))</f>
        <v>47118</v>
      </c>
      <c r="M171" s="278" t="b">
        <v>0</v>
      </c>
    </row>
    <row r="172" spans="1:13" s="281" customFormat="1" x14ac:dyDescent="0.25">
      <c r="A172" s="278" t="str">
        <f>IF(Budget!$C$57="", "", INDEX(Partnere!$A$2:$A$12, MATCH(Budget!$C$57, Partnere!$F$2:$F$12, 0)))</f>
        <v/>
      </c>
      <c r="B172" s="280" t="str">
        <f>IF(Budget!$L$57="", "", ROUND(Budget!$L$57,0))</f>
        <v/>
      </c>
      <c r="C172" s="281" t="s">
        <v>715</v>
      </c>
      <c r="D172" s="281" t="str">
        <f>IF(Budget!$A$57="","",VLOOKUP(Budget!$A$57,OmkostningsExpenseTabel[#Data],2,FALSE))</f>
        <v/>
      </c>
      <c r="H172" s="277">
        <f>IF(ProjektStart &gt;  DATE(FirstYear+8, 12, 31),  DATE(FirstYear+8, 1, 1), MAX(ProjektStart,DATE(FirstYear+8, 1, 1)))</f>
        <v>47119</v>
      </c>
      <c r="I172" s="277">
        <f>IF(ProjektSlut &lt;  DATE(FirstYear+8, 1, 1),  DATE(FirstYear+8, 12, 31), MIN(ProjektSlut,DATE(FirstYear+8, 12, 31)))</f>
        <v>47483</v>
      </c>
      <c r="M172" s="278" t="b">
        <v>0</v>
      </c>
    </row>
    <row r="173" spans="1:13" x14ac:dyDescent="0.25">
      <c r="A173" s="278" t="str">
        <f>IF(Budget!$C$58="", "", INDEX(Partnere!$A$2:$A$12, MATCH(Budget!$C$58, Partnere!$F$2:$F$12, 0)))</f>
        <v/>
      </c>
      <c r="B173" s="279" t="str">
        <f>IF(Budget!$D$58="", "", ROUND(Budget!$D$58,0))</f>
        <v/>
      </c>
      <c r="C173" s="281" t="s">
        <v>715</v>
      </c>
      <c r="D173" s="278" t="str">
        <f>IF(Budget!$A$58="","",VLOOKUP(Budget!$A$58,OmkostningsExpenseTabel[#Data],2,FALSE))</f>
        <v/>
      </c>
      <c r="H173" s="277">
        <f>IF(ProjektStart &gt;  DATE(FirstYear, 12, 31),  DATE(FirstYear, 1, 1), MAX(ProjektStart,DATE(FirstYear, 1, 1)))</f>
        <v>44197</v>
      </c>
      <c r="I173" s="277">
        <f>IF(ProjektSlut &lt;  DATE(FirstYear, 1, 1),  DATE(FirstYear, 12, 31), MIN(ProjektSlut,DATE(FirstYear, 12, 31)))</f>
        <v>44561</v>
      </c>
      <c r="M173" s="278" t="b">
        <v>0</v>
      </c>
    </row>
    <row r="174" spans="1:13" x14ac:dyDescent="0.25">
      <c r="A174" s="278" t="str">
        <f>IF(Budget!$C$58="", "", INDEX(Partnere!$A$2:$A$12, MATCH(Budget!$C$58, Partnere!$F$2:$F$12, 0)))</f>
        <v/>
      </c>
      <c r="B174" s="279" t="str">
        <f>IF(Budget!$E$58="", "", ROUND(Budget!$E$58,0))</f>
        <v/>
      </c>
      <c r="C174" s="281" t="s">
        <v>715</v>
      </c>
      <c r="D174" s="278" t="str">
        <f>IF(Budget!$A$58="","",VLOOKUP(Budget!$A$58,OmkostningsExpenseTabel[#Data],2,FALSE))</f>
        <v/>
      </c>
      <c r="H174" s="277">
        <f>IF(ProjektStart &gt;  DATE(FirstYear+1, 12, 31),  DATE(FirstYear+1, 1, 1), MAX(ProjektStart,DATE(FirstYear+1, 1, 1)))</f>
        <v>44562</v>
      </c>
      <c r="I174" s="277">
        <f>IF(ProjektSlut &lt;  DATE(FirstYear+1, 1, 1),  DATE(FirstYear+1, 12, 31), MIN(ProjektSlut,DATE(FirstYear+1, 12, 31)))</f>
        <v>44926</v>
      </c>
      <c r="M174" s="278" t="b">
        <v>0</v>
      </c>
    </row>
    <row r="175" spans="1:13" x14ac:dyDescent="0.25">
      <c r="A175" s="278" t="str">
        <f>IF(Budget!$C$58="", "", INDEX(Partnere!$A$2:$A$12, MATCH(Budget!$C$58, Partnere!$F$2:$F$12, 0)))</f>
        <v/>
      </c>
      <c r="B175" s="279" t="str">
        <f>IF(Budget!$F$58="", "", ROUND(Budget!$F$58,0))</f>
        <v/>
      </c>
      <c r="C175" s="281" t="s">
        <v>715</v>
      </c>
      <c r="D175" s="278" t="str">
        <f>IF(Budget!$A$58="","",VLOOKUP(Budget!$A$58,OmkostningsExpenseTabel[#Data],2,FALSE))</f>
        <v/>
      </c>
      <c r="H175" s="277">
        <f>IF(ProjektStart &gt;  DATE(FirstYear+2, 12, 31),  DATE(FirstYear+2, 1, 1), MAX(ProjektStart,DATE(FirstYear+2, 1, 1)))</f>
        <v>44927</v>
      </c>
      <c r="I175" s="277">
        <f>IF(ProjektSlut &lt;  DATE(FirstYear+2, 1, 1),  DATE(FirstYear+2, 12, 31), MIN(ProjektSlut,DATE(FirstYear+2, 12, 31)))</f>
        <v>45291</v>
      </c>
      <c r="M175" s="278" t="b">
        <v>0</v>
      </c>
    </row>
    <row r="176" spans="1:13" x14ac:dyDescent="0.25">
      <c r="A176" s="278" t="str">
        <f>IF(Budget!$C$58="", "", INDEX(Partnere!$A$2:$A$12, MATCH(Budget!$C$58, Partnere!$F$2:$F$12, 0)))</f>
        <v/>
      </c>
      <c r="B176" s="279" t="str">
        <f>IF(Budget!$G$58="", "", ROUND(Budget!$G$58,0))</f>
        <v/>
      </c>
      <c r="C176" s="281" t="s">
        <v>715</v>
      </c>
      <c r="D176" s="278" t="str">
        <f>IF(Budget!$A$58="","",VLOOKUP(Budget!$A$58,OmkostningsExpenseTabel[#Data],2,FALSE))</f>
        <v/>
      </c>
      <c r="H176" s="277">
        <f>IF(ProjektStart &gt;  DATE(FirstYear+3, 12, 31),  DATE(FirstYear+3, 1, 1), MAX(ProjektStart,DATE(FirstYear+3, 1, 1)))</f>
        <v>45292</v>
      </c>
      <c r="I176" s="277">
        <f>IF(ProjektSlut &lt;  DATE(FirstYear+3, 1, 1),  DATE(FirstYear+3, 12, 31), MIN(ProjektSlut,DATE(FirstYear+3, 12, 31)))</f>
        <v>45657</v>
      </c>
      <c r="M176" s="278" t="b">
        <v>0</v>
      </c>
    </row>
    <row r="177" spans="1:13" x14ac:dyDescent="0.25">
      <c r="A177" s="278" t="str">
        <f>IF(Budget!$C$58="", "", INDEX(Partnere!$A$2:$A$12, MATCH(Budget!$C$58, Partnere!$F$2:$F$12, 0)))</f>
        <v/>
      </c>
      <c r="B177" s="279" t="str">
        <f>IF(Budget!$H$58="", "", ROUND(Budget!$H$58,0))</f>
        <v/>
      </c>
      <c r="C177" s="281" t="s">
        <v>715</v>
      </c>
      <c r="D177" s="278" t="str">
        <f>IF(Budget!$A$58="","",VLOOKUP(Budget!$A$58,OmkostningsExpenseTabel[#Data],2,FALSE))</f>
        <v/>
      </c>
      <c r="H177" s="277">
        <f>IF(ProjektStart &gt;  DATE(FirstYear+4, 12, 31),  DATE(FirstYear+4, 1, 1), MAX(ProjektStart,DATE(FirstYear+4, 1, 1)))</f>
        <v>45658</v>
      </c>
      <c r="I177" s="277">
        <f>IF(ProjektSlut &lt;  DATE(FirstYear+4, 1, 1),  DATE(FirstYear+4, 12, 31), MIN(ProjektSlut,DATE(FirstYear+4, 12, 31)))</f>
        <v>46022</v>
      </c>
      <c r="M177" s="278" t="b">
        <v>0</v>
      </c>
    </row>
    <row r="178" spans="1:13" s="281" customFormat="1" x14ac:dyDescent="0.25">
      <c r="A178" s="278" t="str">
        <f>IF(Budget!$C$58="", "", INDEX(Partnere!$A$2:$A$12, MATCH(Budget!$C$58, Partnere!$F$2:$F$12, 0)))</f>
        <v/>
      </c>
      <c r="B178" s="280" t="str">
        <f>IF(Budget!$I$58="", "", ROUND(Budget!$I$58,0))</f>
        <v/>
      </c>
      <c r="C178" s="281" t="s">
        <v>715</v>
      </c>
      <c r="D178" s="281" t="str">
        <f>IF(Budget!$A$58="","",VLOOKUP(Budget!$A$58,OmkostningsExpenseTabel[#Data],2,FALSE))</f>
        <v/>
      </c>
      <c r="H178" s="282">
        <f>IF(ProjektStart &gt;  DATE(FirstYear+5, 12, 31),  DATE(FirstYear+5, 1, 1), MAX(ProjektStart,DATE(FirstYear+5, 1, 1)))</f>
        <v>46023</v>
      </c>
      <c r="I178" s="282">
        <f>IF(ProjektSlut &lt;  DATE(FirstYear+5, 1, 1),  DATE(FirstYear+5, 12, 31), MIN(ProjektSlut,DATE(FirstYear+5, 12, 31)))</f>
        <v>46387</v>
      </c>
      <c r="M178" s="278" t="b">
        <v>0</v>
      </c>
    </row>
    <row r="179" spans="1:13" s="281" customFormat="1" x14ac:dyDescent="0.25">
      <c r="A179" s="278" t="str">
        <f>IF(Budget!$C$58="", "", INDEX(Partnere!$A$2:$A$12, MATCH(Budget!$C$58, Partnere!$F$2:$F$12, 0)))</f>
        <v/>
      </c>
      <c r="B179" s="280" t="str">
        <f>IF(Budget!$J$58="", "", ROUND(Budget!$J$58,0))</f>
        <v/>
      </c>
      <c r="C179" s="281" t="s">
        <v>715</v>
      </c>
      <c r="D179" s="281" t="str">
        <f>IF(Budget!$A$58="","",VLOOKUP(Budget!$A$58,OmkostningsExpenseTabel[#Data],2,FALSE))</f>
        <v/>
      </c>
      <c r="H179" s="277">
        <f>IF(ProjektStart &gt;  DATE(FirstYear+6, 12, 31),  DATE(FirstYear+6, 1, 1), MAX(ProjektStart,DATE(FirstYear+6, 1, 1)))</f>
        <v>46388</v>
      </c>
      <c r="I179" s="277">
        <f>IF(ProjektSlut &lt;  DATE(FirstYear+6, 1, 1),  DATE(FirstYear+6, 12, 31), MIN(ProjektSlut,DATE(FirstYear+6, 12, 31)))</f>
        <v>46752</v>
      </c>
      <c r="M179" s="278" t="b">
        <v>0</v>
      </c>
    </row>
    <row r="180" spans="1:13" s="281" customFormat="1" x14ac:dyDescent="0.25">
      <c r="A180" s="278" t="str">
        <f>IF(Budget!$C$58="", "", INDEX(Partnere!$A$2:$A$12, MATCH(Budget!$C$58, Partnere!$F$2:$F$12, 0)))</f>
        <v/>
      </c>
      <c r="B180" s="280" t="str">
        <f>IF(Budget!$K$58="", "", ROUND(Budget!$K$58,0))</f>
        <v/>
      </c>
      <c r="C180" s="281" t="s">
        <v>715</v>
      </c>
      <c r="D180" s="281" t="str">
        <f>IF(Budget!$A$58="","",VLOOKUP(Budget!$A$58,OmkostningsExpenseTabel[#Data],2,FALSE))</f>
        <v/>
      </c>
      <c r="H180" s="277">
        <f>IF(ProjektStart &gt;  DATE(FirstYear+7, 12, 31),  DATE(FirstYear+7, 1, 1), MAX(ProjektStart,DATE(FirstYear+7, 1, 1)))</f>
        <v>46753</v>
      </c>
      <c r="I180" s="277">
        <f>IF(ProjektSlut &lt;  DATE(FirstYear+7, 1, 1),  DATE(FirstYear+7, 12, 31), MIN(ProjektSlut,DATE(FirstYear+7, 12, 31)))</f>
        <v>47118</v>
      </c>
      <c r="M180" s="278" t="b">
        <v>0</v>
      </c>
    </row>
    <row r="181" spans="1:13" s="281" customFormat="1" x14ac:dyDescent="0.25">
      <c r="A181" s="278" t="str">
        <f>IF(Budget!$C$58="", "", INDEX(Partnere!$A$2:$A$12, MATCH(Budget!$C$58, Partnere!$F$2:$F$12, 0)))</f>
        <v/>
      </c>
      <c r="B181" s="280" t="str">
        <f>IF(Budget!$L$58="", "", ROUND(Budget!$L$58,0))</f>
        <v/>
      </c>
      <c r="C181" s="281" t="s">
        <v>715</v>
      </c>
      <c r="D181" s="281" t="str">
        <f>IF(Budget!$A$58="","",VLOOKUP(Budget!$A$58,OmkostningsExpenseTabel[#Data],2,FALSE))</f>
        <v/>
      </c>
      <c r="H181" s="277">
        <f>IF(ProjektStart &gt;  DATE(FirstYear+8, 12, 31),  DATE(FirstYear+8, 1, 1), MAX(ProjektStart,DATE(FirstYear+8, 1, 1)))</f>
        <v>47119</v>
      </c>
      <c r="I181" s="277">
        <f>IF(ProjektSlut &lt;  DATE(FirstYear+8, 1, 1),  DATE(FirstYear+8, 12, 31), MIN(ProjektSlut,DATE(FirstYear+8, 12, 31)))</f>
        <v>47483</v>
      </c>
      <c r="M181" s="278" t="b">
        <v>0</v>
      </c>
    </row>
    <row r="182" spans="1:13" x14ac:dyDescent="0.25">
      <c r="A182" s="278" t="str">
        <f>IF(Budget!$C$59="", "", INDEX(Partnere!$A$2:$A$12, MATCH(Budget!$C$59, Partnere!$F$2:$F$12, 0)))</f>
        <v/>
      </c>
      <c r="B182" s="279" t="str">
        <f>IF(Budget!$D$59="", "", ROUND(Budget!$D$59,0))</f>
        <v/>
      </c>
      <c r="C182" s="281" t="s">
        <v>715</v>
      </c>
      <c r="D182" s="278" t="str">
        <f>IF(Budget!$A$59="","",VLOOKUP(Budget!$A$59,OmkostningsExpenseTabel[#Data],2,FALSE))</f>
        <v/>
      </c>
      <c r="H182" s="277">
        <f>IF(ProjektStart &gt;  DATE(FirstYear, 12, 31),  DATE(FirstYear, 1, 1), MAX(ProjektStart,DATE(FirstYear, 1, 1)))</f>
        <v>44197</v>
      </c>
      <c r="I182" s="277">
        <f>IF(ProjektSlut &lt;  DATE(FirstYear, 1, 1),  DATE(FirstYear, 12, 31), MIN(ProjektSlut,DATE(FirstYear, 12, 31)))</f>
        <v>44561</v>
      </c>
      <c r="M182" s="278" t="b">
        <v>0</v>
      </c>
    </row>
    <row r="183" spans="1:13" x14ac:dyDescent="0.25">
      <c r="A183" s="278" t="str">
        <f>IF(Budget!$C$59="", "", INDEX(Partnere!$A$2:$A$12, MATCH(Budget!$C$59, Partnere!$F$2:$F$12, 0)))</f>
        <v/>
      </c>
      <c r="B183" s="279" t="str">
        <f>IF(Budget!$E$59="", "", ROUND(Budget!$E$59,0))</f>
        <v/>
      </c>
      <c r="C183" s="281" t="s">
        <v>715</v>
      </c>
      <c r="D183" s="278" t="str">
        <f>IF(Budget!$A$59="","",VLOOKUP(Budget!$A$59,OmkostningsExpenseTabel[#Data],2,FALSE))</f>
        <v/>
      </c>
      <c r="H183" s="277">
        <f>IF(ProjektStart &gt;  DATE(FirstYear+1, 12, 31),  DATE(FirstYear+1, 1, 1), MAX(ProjektStart,DATE(FirstYear+1, 1, 1)))</f>
        <v>44562</v>
      </c>
      <c r="I183" s="277">
        <f>IF(ProjektSlut &lt;  DATE(FirstYear+1, 1, 1),  DATE(FirstYear+1, 12, 31), MIN(ProjektSlut,DATE(FirstYear+1, 12, 31)))</f>
        <v>44926</v>
      </c>
      <c r="M183" s="278" t="b">
        <v>0</v>
      </c>
    </row>
    <row r="184" spans="1:13" x14ac:dyDescent="0.25">
      <c r="A184" s="278" t="str">
        <f>IF(Budget!$C$59="", "", INDEX(Partnere!$A$2:$A$12, MATCH(Budget!$C$59, Partnere!$F$2:$F$12, 0)))</f>
        <v/>
      </c>
      <c r="B184" s="279" t="str">
        <f>IF(Budget!$F$59="", "", ROUND(Budget!$F$59,0))</f>
        <v/>
      </c>
      <c r="C184" s="281" t="s">
        <v>715</v>
      </c>
      <c r="D184" s="278" t="str">
        <f>IF(Budget!$A$59="","",VLOOKUP(Budget!$A$59,OmkostningsExpenseTabel[#Data],2,FALSE))</f>
        <v/>
      </c>
      <c r="H184" s="277">
        <f>IF(ProjektStart &gt;  DATE(FirstYear+2, 12, 31),  DATE(FirstYear+2, 1, 1), MAX(ProjektStart,DATE(FirstYear+2, 1, 1)))</f>
        <v>44927</v>
      </c>
      <c r="I184" s="277">
        <f>IF(ProjektSlut &lt;  DATE(FirstYear+2, 1, 1),  DATE(FirstYear+2, 12, 31), MIN(ProjektSlut,DATE(FirstYear+2, 12, 31)))</f>
        <v>45291</v>
      </c>
      <c r="M184" s="278" t="b">
        <v>0</v>
      </c>
    </row>
    <row r="185" spans="1:13" x14ac:dyDescent="0.25">
      <c r="A185" s="278" t="str">
        <f>IF(Budget!$C$59="", "", INDEX(Partnere!$A$2:$A$12, MATCH(Budget!$C$59, Partnere!$F$2:$F$12, 0)))</f>
        <v/>
      </c>
      <c r="B185" s="279" t="str">
        <f>IF(Budget!$G$59="", "", ROUND(Budget!$G$59,0))</f>
        <v/>
      </c>
      <c r="C185" s="281" t="s">
        <v>715</v>
      </c>
      <c r="D185" s="278" t="str">
        <f>IF(Budget!$A$59="","",VLOOKUP(Budget!$A$59,OmkostningsExpenseTabel[#Data],2,FALSE))</f>
        <v/>
      </c>
      <c r="H185" s="277">
        <f>IF(ProjektStart &gt;  DATE(FirstYear+3, 12, 31),  DATE(FirstYear+3, 1, 1), MAX(ProjektStart,DATE(FirstYear+3, 1, 1)))</f>
        <v>45292</v>
      </c>
      <c r="I185" s="277">
        <f>IF(ProjektSlut &lt;  DATE(FirstYear+3, 1, 1),  DATE(FirstYear+3, 12, 31), MIN(ProjektSlut,DATE(FirstYear+3, 12, 31)))</f>
        <v>45657</v>
      </c>
      <c r="M185" s="278" t="b">
        <v>0</v>
      </c>
    </row>
    <row r="186" spans="1:13" x14ac:dyDescent="0.25">
      <c r="A186" s="278" t="str">
        <f>IF(Budget!$C$59="", "", INDEX(Partnere!$A$2:$A$12, MATCH(Budget!$C$59, Partnere!$F$2:$F$12, 0)))</f>
        <v/>
      </c>
      <c r="B186" s="279" t="str">
        <f>IF(Budget!$H$59="", "", ROUND(Budget!$H$59,0))</f>
        <v/>
      </c>
      <c r="C186" s="281" t="s">
        <v>715</v>
      </c>
      <c r="D186" s="278" t="str">
        <f>IF(Budget!$A$59="","",VLOOKUP(Budget!$A$59,OmkostningsExpenseTabel[#Data],2,FALSE))</f>
        <v/>
      </c>
      <c r="H186" s="277">
        <f>IF(ProjektStart &gt;  DATE(FirstYear+4, 12, 31),  DATE(FirstYear+4, 1, 1), MAX(ProjektStart,DATE(FirstYear+4, 1, 1)))</f>
        <v>45658</v>
      </c>
      <c r="I186" s="277">
        <f>IF(ProjektSlut &lt;  DATE(FirstYear+4, 1, 1),  DATE(FirstYear+4, 12, 31), MIN(ProjektSlut,DATE(FirstYear+4, 12, 31)))</f>
        <v>46022</v>
      </c>
      <c r="M186" s="278" t="b">
        <v>0</v>
      </c>
    </row>
    <row r="187" spans="1:13" s="281" customFormat="1" x14ac:dyDescent="0.25">
      <c r="A187" s="278" t="str">
        <f>IF(Budget!$C$59="", "", INDEX(Partnere!$A$2:$A$12, MATCH(Budget!$C$59, Partnere!$F$2:$F$12, 0)))</f>
        <v/>
      </c>
      <c r="B187" s="280" t="str">
        <f>IF(Budget!$I$59="", "", ROUND(Budget!$I$59,0))</f>
        <v/>
      </c>
      <c r="C187" s="281" t="s">
        <v>715</v>
      </c>
      <c r="D187" s="281" t="str">
        <f>IF(Budget!$A$59="","",VLOOKUP(Budget!$A$59,OmkostningsExpenseTabel[#Data],2,FALSE))</f>
        <v/>
      </c>
      <c r="H187" s="282">
        <f>IF(ProjektStart &gt;  DATE(FirstYear+5, 12, 31),  DATE(FirstYear+5, 1, 1), MAX(ProjektStart,DATE(FirstYear+5, 1, 1)))</f>
        <v>46023</v>
      </c>
      <c r="I187" s="282">
        <f>IF(ProjektSlut &lt;  DATE(FirstYear+5, 1, 1),  DATE(FirstYear+5, 12, 31), MIN(ProjektSlut,DATE(FirstYear+5, 12, 31)))</f>
        <v>46387</v>
      </c>
      <c r="M187" s="278" t="b">
        <v>0</v>
      </c>
    </row>
    <row r="188" spans="1:13" s="281" customFormat="1" x14ac:dyDescent="0.25">
      <c r="A188" s="278" t="str">
        <f>IF(Budget!$C$59="", "", INDEX(Partnere!$A$2:$A$12, MATCH(Budget!$C$59, Partnere!$F$2:$F$12, 0)))</f>
        <v/>
      </c>
      <c r="B188" s="280" t="str">
        <f>IF(Budget!$J$59="", "", ROUND(Budget!$J$59,0))</f>
        <v/>
      </c>
      <c r="C188" s="281" t="s">
        <v>715</v>
      </c>
      <c r="D188" s="281" t="str">
        <f>IF(Budget!$A$59="","",VLOOKUP(Budget!$A$59,OmkostningsExpenseTabel[#Data],2,FALSE))</f>
        <v/>
      </c>
      <c r="H188" s="277">
        <f>IF(ProjektStart &gt;  DATE(FirstYear+6, 12, 31),  DATE(FirstYear+6, 1, 1), MAX(ProjektStart,DATE(FirstYear+6, 1, 1)))</f>
        <v>46388</v>
      </c>
      <c r="I188" s="277">
        <f>IF(ProjektSlut &lt;  DATE(FirstYear+6, 1, 1),  DATE(FirstYear+6, 12, 31), MIN(ProjektSlut,DATE(FirstYear+6, 12, 31)))</f>
        <v>46752</v>
      </c>
      <c r="M188" s="278" t="b">
        <v>0</v>
      </c>
    </row>
    <row r="189" spans="1:13" s="281" customFormat="1" x14ac:dyDescent="0.25">
      <c r="A189" s="278" t="str">
        <f>IF(Budget!$C$59="", "", INDEX(Partnere!$A$2:$A$12, MATCH(Budget!$C$59, Partnere!$F$2:$F$12, 0)))</f>
        <v/>
      </c>
      <c r="B189" s="280" t="str">
        <f>IF(Budget!$K$59="", "", ROUND(Budget!$K$59,0))</f>
        <v/>
      </c>
      <c r="C189" s="281" t="s">
        <v>715</v>
      </c>
      <c r="D189" s="281" t="str">
        <f>IF(Budget!$A$59="","",VLOOKUP(Budget!$A$59,OmkostningsExpenseTabel[#Data],2,FALSE))</f>
        <v/>
      </c>
      <c r="H189" s="277">
        <f>IF(ProjektStart &gt;  DATE(FirstYear+7, 12, 31),  DATE(FirstYear+7, 1, 1), MAX(ProjektStart,DATE(FirstYear+7, 1, 1)))</f>
        <v>46753</v>
      </c>
      <c r="I189" s="277">
        <f>IF(ProjektSlut &lt;  DATE(FirstYear+7, 1, 1),  DATE(FirstYear+7, 12, 31), MIN(ProjektSlut,DATE(FirstYear+7, 12, 31)))</f>
        <v>47118</v>
      </c>
      <c r="M189" s="278" t="b">
        <v>0</v>
      </c>
    </row>
    <row r="190" spans="1:13" s="281" customFormat="1" x14ac:dyDescent="0.25">
      <c r="A190" s="278" t="str">
        <f>IF(Budget!$C$59="", "", INDEX(Partnere!$A$2:$A$12, MATCH(Budget!$C$59, Partnere!$F$2:$F$12, 0)))</f>
        <v/>
      </c>
      <c r="B190" s="280" t="str">
        <f>IF(Budget!$L$59="", "", ROUND(Budget!$L$59,0))</f>
        <v/>
      </c>
      <c r="C190" s="281" t="s">
        <v>715</v>
      </c>
      <c r="D190" s="281" t="str">
        <f>IF(Budget!$A$59="","",VLOOKUP(Budget!$A$59,OmkostningsExpenseTabel[#Data],2,FALSE))</f>
        <v/>
      </c>
      <c r="H190" s="277">
        <f>IF(ProjektStart &gt;  DATE(FirstYear+8, 12, 31),  DATE(FirstYear+8, 1, 1), MAX(ProjektStart,DATE(FirstYear+8, 1, 1)))</f>
        <v>47119</v>
      </c>
      <c r="I190" s="277">
        <f>IF(ProjektSlut &lt;  DATE(FirstYear+8, 1, 1),  DATE(FirstYear+8, 12, 31), MIN(ProjektSlut,DATE(FirstYear+8, 12, 31)))</f>
        <v>47483</v>
      </c>
      <c r="M190" s="278" t="b">
        <v>0</v>
      </c>
    </row>
    <row r="191" spans="1:13" x14ac:dyDescent="0.25">
      <c r="A191" s="278" t="str">
        <f>IF(Budget!$C$60="", "", INDEX(Partnere!$A$2:$A$12, MATCH(Budget!$C$60, Partnere!$F$2:$F$12, 0)))</f>
        <v/>
      </c>
      <c r="B191" s="279" t="str">
        <f>IF(Budget!$D$60="", "", ROUND(Budget!$D$60,0))</f>
        <v/>
      </c>
      <c r="C191" s="281" t="s">
        <v>715</v>
      </c>
      <c r="D191" s="278" t="str">
        <f>IF(Budget!$A$60="","",VLOOKUP(Budget!$A$60,OmkostningsExpenseTabel[#Data],2,FALSE))</f>
        <v/>
      </c>
      <c r="H191" s="277">
        <f>IF(ProjektStart &gt;  DATE(FirstYear, 12, 31),  DATE(FirstYear, 1, 1), MAX(ProjektStart,DATE(FirstYear, 1, 1)))</f>
        <v>44197</v>
      </c>
      <c r="I191" s="277">
        <f>IF(ProjektSlut &lt;  DATE(FirstYear, 1, 1),  DATE(FirstYear, 12, 31), MIN(ProjektSlut,DATE(FirstYear, 12, 31)))</f>
        <v>44561</v>
      </c>
      <c r="M191" s="278" t="b">
        <v>0</v>
      </c>
    </row>
    <row r="192" spans="1:13" x14ac:dyDescent="0.25">
      <c r="A192" s="278" t="str">
        <f>IF(Budget!$C$60="", "", INDEX(Partnere!$A$2:$A$12, MATCH(Budget!$C$60, Partnere!$F$2:$F$12, 0)))</f>
        <v/>
      </c>
      <c r="B192" s="279" t="str">
        <f>IF(Budget!$E$60="", "", ROUND(Budget!$E$60,0))</f>
        <v/>
      </c>
      <c r="C192" s="281" t="s">
        <v>715</v>
      </c>
      <c r="D192" s="278" t="str">
        <f>IF(Budget!$A$60="","",VLOOKUP(Budget!$A$60,OmkostningsExpenseTabel[#Data],2,FALSE))</f>
        <v/>
      </c>
      <c r="H192" s="277">
        <f>IF(ProjektStart &gt;  DATE(FirstYear+1, 12, 31),  DATE(FirstYear+1, 1, 1), MAX(ProjektStart,DATE(FirstYear+1, 1, 1)))</f>
        <v>44562</v>
      </c>
      <c r="I192" s="277">
        <f>IF(ProjektSlut &lt;  DATE(FirstYear+1, 1, 1),  DATE(FirstYear+1, 12, 31), MIN(ProjektSlut,DATE(FirstYear+1, 12, 31)))</f>
        <v>44926</v>
      </c>
      <c r="M192" s="278" t="b">
        <v>0</v>
      </c>
    </row>
    <row r="193" spans="1:13" x14ac:dyDescent="0.25">
      <c r="A193" s="278" t="str">
        <f>IF(Budget!$C$60="", "", INDEX(Partnere!$A$2:$A$12, MATCH(Budget!$C$60, Partnere!$F$2:$F$12, 0)))</f>
        <v/>
      </c>
      <c r="B193" s="279" t="str">
        <f>IF(Budget!$F$60="", "", ROUND(Budget!$F$60,0))</f>
        <v/>
      </c>
      <c r="C193" s="281" t="s">
        <v>715</v>
      </c>
      <c r="D193" s="278" t="str">
        <f>IF(Budget!$A$60="","",VLOOKUP(Budget!$A$60,OmkostningsExpenseTabel[#Data],2,FALSE))</f>
        <v/>
      </c>
      <c r="H193" s="277">
        <f>IF(ProjektStart &gt;  DATE(FirstYear+2, 12, 31),  DATE(FirstYear+2, 1, 1), MAX(ProjektStart,DATE(FirstYear+2, 1, 1)))</f>
        <v>44927</v>
      </c>
      <c r="I193" s="277">
        <f>IF(ProjektSlut &lt;  DATE(FirstYear+2, 1, 1),  DATE(FirstYear+2, 12, 31), MIN(ProjektSlut,DATE(FirstYear+2, 12, 31)))</f>
        <v>45291</v>
      </c>
      <c r="M193" s="278" t="b">
        <v>0</v>
      </c>
    </row>
    <row r="194" spans="1:13" x14ac:dyDescent="0.25">
      <c r="A194" s="278" t="str">
        <f>IF(Budget!$C$60="", "", INDEX(Partnere!$A$2:$A$12, MATCH(Budget!$C$60, Partnere!$F$2:$F$12, 0)))</f>
        <v/>
      </c>
      <c r="B194" s="279" t="str">
        <f>IF(Budget!$G$60="", "", ROUND(Budget!$G$60,0))</f>
        <v/>
      </c>
      <c r="C194" s="281" t="s">
        <v>715</v>
      </c>
      <c r="D194" s="278" t="str">
        <f>IF(Budget!$A$60="","",VLOOKUP(Budget!$A$60,OmkostningsExpenseTabel[#Data],2,FALSE))</f>
        <v/>
      </c>
      <c r="H194" s="277">
        <f>IF(ProjektStart &gt;  DATE(FirstYear+3, 12, 31),  DATE(FirstYear+3, 1, 1), MAX(ProjektStart,DATE(FirstYear+3, 1, 1)))</f>
        <v>45292</v>
      </c>
      <c r="I194" s="277">
        <f>IF(ProjektSlut &lt;  DATE(FirstYear+3, 1, 1),  DATE(FirstYear+3, 12, 31), MIN(ProjektSlut,DATE(FirstYear+3, 12, 31)))</f>
        <v>45657</v>
      </c>
      <c r="M194" s="278" t="b">
        <v>0</v>
      </c>
    </row>
    <row r="195" spans="1:13" x14ac:dyDescent="0.25">
      <c r="A195" s="278" t="str">
        <f>IF(Budget!$C$60="", "", INDEX(Partnere!$A$2:$A$12, MATCH(Budget!$C$60, Partnere!$F$2:$F$12, 0)))</f>
        <v/>
      </c>
      <c r="B195" s="279" t="str">
        <f>IF(Budget!$H$60="", "", ROUND(Budget!$H$60,0))</f>
        <v/>
      </c>
      <c r="C195" s="281" t="s">
        <v>715</v>
      </c>
      <c r="D195" s="278" t="str">
        <f>IF(Budget!$A$60="","",VLOOKUP(Budget!$A$60,OmkostningsExpenseTabel[#Data],2,FALSE))</f>
        <v/>
      </c>
      <c r="H195" s="277">
        <f>IF(ProjektStart &gt;  DATE(FirstYear+4, 12, 31),  DATE(FirstYear+4, 1, 1), MAX(ProjektStart,DATE(FirstYear+4, 1, 1)))</f>
        <v>45658</v>
      </c>
      <c r="I195" s="277">
        <f>IF(ProjektSlut &lt;  DATE(FirstYear+4, 1, 1),  DATE(FirstYear+4, 12, 31), MIN(ProjektSlut,DATE(FirstYear+4, 12, 31)))</f>
        <v>46022</v>
      </c>
      <c r="M195" s="278" t="b">
        <v>0</v>
      </c>
    </row>
    <row r="196" spans="1:13" s="281" customFormat="1" x14ac:dyDescent="0.25">
      <c r="A196" s="278" t="str">
        <f>IF(Budget!$C$60="", "", INDEX(Partnere!$A$2:$A$12, MATCH(Budget!$C$60, Partnere!$F$2:$F$12, 0)))</f>
        <v/>
      </c>
      <c r="B196" s="280" t="str">
        <f>IF(Budget!$I$60="", "", ROUND(Budget!$I$60,0))</f>
        <v/>
      </c>
      <c r="C196" s="281" t="s">
        <v>715</v>
      </c>
      <c r="D196" s="281" t="str">
        <f>IF(Budget!$A$60="","",VLOOKUP(Budget!$A$60,OmkostningsExpenseTabel[#Data],2,FALSE))</f>
        <v/>
      </c>
      <c r="H196" s="282">
        <f>IF(ProjektStart &gt;  DATE(FirstYear+5, 12, 31),  DATE(FirstYear+5, 1, 1), MAX(ProjektStart,DATE(FirstYear+5, 1, 1)))</f>
        <v>46023</v>
      </c>
      <c r="I196" s="282">
        <f>IF(ProjektSlut &lt;  DATE(FirstYear+5, 1, 1),  DATE(FirstYear+5, 12, 31), MIN(ProjektSlut,DATE(FirstYear+5, 12, 31)))</f>
        <v>46387</v>
      </c>
      <c r="M196" s="278" t="b">
        <v>0</v>
      </c>
    </row>
    <row r="197" spans="1:13" s="281" customFormat="1" x14ac:dyDescent="0.25">
      <c r="A197" s="278" t="str">
        <f>IF(Budget!$C$60="", "", INDEX(Partnere!$A$2:$A$12, MATCH(Budget!$C$60, Partnere!$F$2:$F$12, 0)))</f>
        <v/>
      </c>
      <c r="B197" s="280" t="str">
        <f>IF(Budget!$J$60="", "", ROUND(Budget!$J$60,0))</f>
        <v/>
      </c>
      <c r="C197" s="281" t="s">
        <v>715</v>
      </c>
      <c r="D197" s="281" t="str">
        <f>IF(Budget!$A$60="","",VLOOKUP(Budget!$A$60,OmkostningsExpenseTabel[#Data],2,FALSE))</f>
        <v/>
      </c>
      <c r="H197" s="277">
        <f>IF(ProjektStart &gt;  DATE(FirstYear+6, 12, 31),  DATE(FirstYear+6, 1, 1), MAX(ProjektStart,DATE(FirstYear+6, 1, 1)))</f>
        <v>46388</v>
      </c>
      <c r="I197" s="277">
        <f>IF(ProjektSlut &lt;  DATE(FirstYear+6, 1, 1),  DATE(FirstYear+6, 12, 31), MIN(ProjektSlut,DATE(FirstYear+6, 12, 31)))</f>
        <v>46752</v>
      </c>
      <c r="M197" s="278" t="b">
        <v>0</v>
      </c>
    </row>
    <row r="198" spans="1:13" s="281" customFormat="1" x14ac:dyDescent="0.25">
      <c r="A198" s="278" t="str">
        <f>IF(Budget!$C$60="", "", INDEX(Partnere!$A$2:$A$12, MATCH(Budget!$C$60, Partnere!$F$2:$F$12, 0)))</f>
        <v/>
      </c>
      <c r="B198" s="280" t="str">
        <f>IF(Budget!$K$60="", "", ROUND(Budget!$K$60,0))</f>
        <v/>
      </c>
      <c r="C198" s="281" t="s">
        <v>715</v>
      </c>
      <c r="D198" s="281" t="str">
        <f>IF(Budget!$A$60="","",VLOOKUP(Budget!$A$60,OmkostningsExpenseTabel[#Data],2,FALSE))</f>
        <v/>
      </c>
      <c r="H198" s="277">
        <f>IF(ProjektStart &gt;  DATE(FirstYear+7, 12, 31),  DATE(FirstYear+7, 1, 1), MAX(ProjektStart,DATE(FirstYear+7, 1, 1)))</f>
        <v>46753</v>
      </c>
      <c r="I198" s="277">
        <f>IF(ProjektSlut &lt;  DATE(FirstYear+7, 1, 1),  DATE(FirstYear+7, 12, 31), MIN(ProjektSlut,DATE(FirstYear+7, 12, 31)))</f>
        <v>47118</v>
      </c>
      <c r="M198" s="278" t="b">
        <v>0</v>
      </c>
    </row>
    <row r="199" spans="1:13" s="281" customFormat="1" x14ac:dyDescent="0.25">
      <c r="A199" s="278" t="str">
        <f>IF(Budget!$C$60="", "", INDEX(Partnere!$A$2:$A$12, MATCH(Budget!$C$60, Partnere!$F$2:$F$12, 0)))</f>
        <v/>
      </c>
      <c r="B199" s="280" t="str">
        <f>IF(Budget!$L$60="", "", ROUND(Budget!$L$60,0))</f>
        <v/>
      </c>
      <c r="C199" s="281" t="s">
        <v>715</v>
      </c>
      <c r="D199" s="281" t="str">
        <f>IF(Budget!$A$60="","",VLOOKUP(Budget!$A$60,OmkostningsExpenseTabel[#Data],2,FALSE))</f>
        <v/>
      </c>
      <c r="H199" s="277">
        <f>IF(ProjektStart &gt;  DATE(FirstYear+8, 12, 31),  DATE(FirstYear+8, 1, 1), MAX(ProjektStart,DATE(FirstYear+8, 1, 1)))</f>
        <v>47119</v>
      </c>
      <c r="I199" s="277">
        <f>IF(ProjektSlut &lt;  DATE(FirstYear+8, 1, 1),  DATE(FirstYear+8, 12, 31), MIN(ProjektSlut,DATE(FirstYear+8, 12, 31)))</f>
        <v>47483</v>
      </c>
      <c r="M199" s="278" t="b">
        <v>0</v>
      </c>
    </row>
    <row r="200" spans="1:13" x14ac:dyDescent="0.25">
      <c r="A200" s="278" t="str">
        <f>IF(Budget!$C$61="", "", INDEX(Partnere!$A$2:$A$12, MATCH(Budget!$C$61, Partnere!$F$2:$F$12, 0)))</f>
        <v/>
      </c>
      <c r="B200" s="279" t="str">
        <f>IF(Budget!$D$61="", "", ROUND(Budget!$D$61,0))</f>
        <v/>
      </c>
      <c r="C200" s="281" t="s">
        <v>715</v>
      </c>
      <c r="D200" s="278" t="str">
        <f>IF(Budget!$A$61="","",VLOOKUP(Budget!$A$61,OmkostningsExpenseTabel[#Data],2,FALSE))</f>
        <v/>
      </c>
      <c r="H200" s="277">
        <f>IF(ProjektStart &gt;  DATE(FirstYear, 12, 31),  DATE(FirstYear, 1, 1), MAX(ProjektStart,DATE(FirstYear, 1, 1)))</f>
        <v>44197</v>
      </c>
      <c r="I200" s="277">
        <f>IF(ProjektSlut &lt;  DATE(FirstYear, 1, 1),  DATE(FirstYear, 12, 31), MIN(ProjektSlut,DATE(FirstYear, 12, 31)))</f>
        <v>44561</v>
      </c>
      <c r="M200" s="278" t="b">
        <v>0</v>
      </c>
    </row>
    <row r="201" spans="1:13" x14ac:dyDescent="0.25">
      <c r="A201" s="278" t="str">
        <f>IF(Budget!$C$61="", "", INDEX(Partnere!$A$2:$A$12, MATCH(Budget!$C$61, Partnere!$F$2:$F$12, 0)))</f>
        <v/>
      </c>
      <c r="B201" s="279" t="str">
        <f>IF(Budget!$E$61="", "", ROUND(Budget!$E$61,0))</f>
        <v/>
      </c>
      <c r="C201" s="281" t="s">
        <v>715</v>
      </c>
      <c r="D201" s="278" t="str">
        <f>IF(Budget!$A$61="","",VLOOKUP(Budget!$A$61,OmkostningsExpenseTabel[#Data],2,FALSE))</f>
        <v/>
      </c>
      <c r="H201" s="277">
        <f>IF(ProjektStart &gt;  DATE(FirstYear+1, 12, 31),  DATE(FirstYear+1, 1, 1), MAX(ProjektStart,DATE(FirstYear+1, 1, 1)))</f>
        <v>44562</v>
      </c>
      <c r="I201" s="277">
        <f>IF(ProjektSlut &lt;  DATE(FirstYear+1, 1, 1),  DATE(FirstYear+1, 12, 31), MIN(ProjektSlut,DATE(FirstYear+1, 12, 31)))</f>
        <v>44926</v>
      </c>
      <c r="M201" s="278" t="b">
        <v>0</v>
      </c>
    </row>
    <row r="202" spans="1:13" x14ac:dyDescent="0.25">
      <c r="A202" s="278" t="str">
        <f>IF(Budget!$C$61="", "", INDEX(Partnere!$A$2:$A$12, MATCH(Budget!$C$61, Partnere!$F$2:$F$12, 0)))</f>
        <v/>
      </c>
      <c r="B202" s="279" t="str">
        <f>IF(Budget!$F$61="", "", ROUND(Budget!$F$61,0))</f>
        <v/>
      </c>
      <c r="C202" s="281" t="s">
        <v>715</v>
      </c>
      <c r="D202" s="278" t="str">
        <f>IF(Budget!$A$61="","",VLOOKUP(Budget!$A$61,OmkostningsExpenseTabel[#Data],2,FALSE))</f>
        <v/>
      </c>
      <c r="H202" s="277">
        <f>IF(ProjektStart &gt;  DATE(FirstYear+2, 12, 31),  DATE(FirstYear+2, 1, 1), MAX(ProjektStart,DATE(FirstYear+2, 1, 1)))</f>
        <v>44927</v>
      </c>
      <c r="I202" s="277">
        <f>IF(ProjektSlut &lt;  DATE(FirstYear+2, 1, 1),  DATE(FirstYear+2, 12, 31), MIN(ProjektSlut,DATE(FirstYear+2, 12, 31)))</f>
        <v>45291</v>
      </c>
      <c r="M202" s="278" t="b">
        <v>0</v>
      </c>
    </row>
    <row r="203" spans="1:13" x14ac:dyDescent="0.25">
      <c r="A203" s="278" t="str">
        <f>IF(Budget!$C$61="", "", INDEX(Partnere!$A$2:$A$12, MATCH(Budget!$C$61, Partnere!$F$2:$F$12, 0)))</f>
        <v/>
      </c>
      <c r="B203" s="279" t="str">
        <f>IF(Budget!$G$61="", "", ROUND(Budget!$G$61,0))</f>
        <v/>
      </c>
      <c r="C203" s="281" t="s">
        <v>715</v>
      </c>
      <c r="D203" s="278" t="str">
        <f>IF(Budget!$A$61="","",VLOOKUP(Budget!$A$61,OmkostningsExpenseTabel[#Data],2,FALSE))</f>
        <v/>
      </c>
      <c r="H203" s="277">
        <f>IF(ProjektStart &gt;  DATE(FirstYear+3, 12, 31),  DATE(FirstYear+3, 1, 1), MAX(ProjektStart,DATE(FirstYear+3, 1, 1)))</f>
        <v>45292</v>
      </c>
      <c r="I203" s="277">
        <f>IF(ProjektSlut &lt;  DATE(FirstYear+3, 1, 1),  DATE(FirstYear+3, 12, 31), MIN(ProjektSlut,DATE(FirstYear+3, 12, 31)))</f>
        <v>45657</v>
      </c>
      <c r="M203" s="278" t="b">
        <v>0</v>
      </c>
    </row>
    <row r="204" spans="1:13" x14ac:dyDescent="0.25">
      <c r="A204" s="278" t="str">
        <f>IF(Budget!$C$61="", "", INDEX(Partnere!$A$2:$A$12, MATCH(Budget!$C$61, Partnere!$F$2:$F$12, 0)))</f>
        <v/>
      </c>
      <c r="B204" s="279" t="str">
        <f>IF(Budget!$H$61="", "", ROUND(Budget!$H$61,0))</f>
        <v/>
      </c>
      <c r="C204" s="281" t="s">
        <v>715</v>
      </c>
      <c r="D204" s="278" t="str">
        <f>IF(Budget!$A$61="","",VLOOKUP(Budget!$A$61,OmkostningsExpenseTabel[#Data],2,FALSE))</f>
        <v/>
      </c>
      <c r="H204" s="277">
        <f>IF(ProjektStart &gt;  DATE(FirstYear+4, 12, 31),  DATE(FirstYear+4, 1, 1), MAX(ProjektStart,DATE(FirstYear+4, 1, 1)))</f>
        <v>45658</v>
      </c>
      <c r="I204" s="277">
        <f>IF(ProjektSlut &lt;  DATE(FirstYear+4, 1, 1),  DATE(FirstYear+4, 12, 31), MIN(ProjektSlut,DATE(FirstYear+4, 12, 31)))</f>
        <v>46022</v>
      </c>
      <c r="M204" s="278" t="b">
        <v>0</v>
      </c>
    </row>
    <row r="205" spans="1:13" s="281" customFormat="1" x14ac:dyDescent="0.25">
      <c r="A205" s="278" t="str">
        <f>IF(Budget!$C$61="", "", INDEX(Partnere!$A$2:$A$12, MATCH(Budget!$C$61, Partnere!$F$2:$F$12, 0)))</f>
        <v/>
      </c>
      <c r="B205" s="280" t="str">
        <f>IF(Budget!$I$61="", "", ROUND(Budget!$I$61,0))</f>
        <v/>
      </c>
      <c r="C205" s="281" t="s">
        <v>715</v>
      </c>
      <c r="D205" s="281" t="str">
        <f>IF(Budget!$A$61="","",VLOOKUP(Budget!$A$61,OmkostningsExpenseTabel[#Data],2,FALSE))</f>
        <v/>
      </c>
      <c r="H205" s="282">
        <f>IF(ProjektStart &gt;  DATE(FirstYear+5, 12, 31),  DATE(FirstYear+5, 1, 1), MAX(ProjektStart,DATE(FirstYear+5, 1, 1)))</f>
        <v>46023</v>
      </c>
      <c r="I205" s="282">
        <f>IF(ProjektSlut &lt;  DATE(FirstYear+5, 1, 1),  DATE(FirstYear+5, 12, 31), MIN(ProjektSlut,DATE(FirstYear+5, 12, 31)))</f>
        <v>46387</v>
      </c>
      <c r="M205" s="278" t="b">
        <v>0</v>
      </c>
    </row>
    <row r="206" spans="1:13" s="281" customFormat="1" x14ac:dyDescent="0.25">
      <c r="A206" s="278" t="str">
        <f>IF(Budget!$C$61="", "", INDEX(Partnere!$A$2:$A$12, MATCH(Budget!$C$61, Partnere!$F$2:$F$12, 0)))</f>
        <v/>
      </c>
      <c r="B206" s="280" t="str">
        <f>IF(Budget!$J$61="", "", ROUND(Budget!$J$61,0))</f>
        <v/>
      </c>
      <c r="C206" s="281" t="s">
        <v>715</v>
      </c>
      <c r="D206" s="281" t="str">
        <f>IF(Budget!$A$61="","",VLOOKUP(Budget!$A$61,OmkostningsExpenseTabel[#Data],2,FALSE))</f>
        <v/>
      </c>
      <c r="H206" s="277">
        <f>IF(ProjektStart &gt;  DATE(FirstYear+6, 12, 31),  DATE(FirstYear+6, 1, 1), MAX(ProjektStart,DATE(FirstYear+6, 1, 1)))</f>
        <v>46388</v>
      </c>
      <c r="I206" s="277">
        <f>IF(ProjektSlut &lt;  DATE(FirstYear+6, 1, 1),  DATE(FirstYear+6, 12, 31), MIN(ProjektSlut,DATE(FirstYear+6, 12, 31)))</f>
        <v>46752</v>
      </c>
      <c r="M206" s="278" t="b">
        <v>0</v>
      </c>
    </row>
    <row r="207" spans="1:13" s="281" customFormat="1" x14ac:dyDescent="0.25">
      <c r="A207" s="278" t="str">
        <f>IF(Budget!$C$61="", "", INDEX(Partnere!$A$2:$A$12, MATCH(Budget!$C$61, Partnere!$F$2:$F$12, 0)))</f>
        <v/>
      </c>
      <c r="B207" s="280" t="str">
        <f>IF(Budget!$K$61="", "", ROUND(Budget!$K$61,0))</f>
        <v/>
      </c>
      <c r="C207" s="281" t="s">
        <v>715</v>
      </c>
      <c r="D207" s="281" t="str">
        <f>IF(Budget!$A$61="","",VLOOKUP(Budget!$A$61,OmkostningsExpenseTabel[#Data],2,FALSE))</f>
        <v/>
      </c>
      <c r="H207" s="277">
        <f>IF(ProjektStart &gt;  DATE(FirstYear+7, 12, 31),  DATE(FirstYear+7, 1, 1), MAX(ProjektStart,DATE(FirstYear+7, 1, 1)))</f>
        <v>46753</v>
      </c>
      <c r="I207" s="277">
        <f>IF(ProjektSlut &lt;  DATE(FirstYear+7, 1, 1),  DATE(FirstYear+7, 12, 31), MIN(ProjektSlut,DATE(FirstYear+7, 12, 31)))</f>
        <v>47118</v>
      </c>
      <c r="M207" s="278" t="b">
        <v>0</v>
      </c>
    </row>
    <row r="208" spans="1:13" s="281" customFormat="1" x14ac:dyDescent="0.25">
      <c r="A208" s="278" t="str">
        <f>IF(Budget!$C$61="", "", INDEX(Partnere!$A$2:$A$12, MATCH(Budget!$C$61, Partnere!$F$2:$F$12, 0)))</f>
        <v/>
      </c>
      <c r="B208" s="280" t="str">
        <f>IF(Budget!$L$61="", "", ROUND(Budget!$L$61,0))</f>
        <v/>
      </c>
      <c r="C208" s="281" t="s">
        <v>715</v>
      </c>
      <c r="D208" s="281" t="str">
        <f>IF(Budget!$A$61="","",VLOOKUP(Budget!$A$61,OmkostningsExpenseTabel[#Data],2,FALSE))</f>
        <v/>
      </c>
      <c r="H208" s="277">
        <f>IF(ProjektStart &gt;  DATE(FirstYear+8, 12, 31),  DATE(FirstYear+8, 1, 1), MAX(ProjektStart,DATE(FirstYear+8, 1, 1)))</f>
        <v>47119</v>
      </c>
      <c r="I208" s="277">
        <f>IF(ProjektSlut &lt;  DATE(FirstYear+8, 1, 1),  DATE(FirstYear+8, 12, 31), MIN(ProjektSlut,DATE(FirstYear+8, 12, 31)))</f>
        <v>47483</v>
      </c>
      <c r="M208" s="278" t="b">
        <v>0</v>
      </c>
    </row>
    <row r="209" spans="1:13" x14ac:dyDescent="0.25">
      <c r="A209" s="278" t="str">
        <f>IF(Budget!$C$62="", "", INDEX(Partnere!$A$2:$A$12, MATCH(Budget!$C$62, Partnere!$F$2:$F$12, 0)))</f>
        <v/>
      </c>
      <c r="B209" s="279" t="str">
        <f>IF(Budget!$D$62="", "", ROUND(Budget!$D$62,0))</f>
        <v/>
      </c>
      <c r="C209" s="281" t="s">
        <v>715</v>
      </c>
      <c r="D209" s="278" t="str">
        <f>IF(Budget!$A$62="","",VLOOKUP(Budget!$A$62,OmkostningsExpenseTabel[#Data],2,FALSE))</f>
        <v/>
      </c>
      <c r="H209" s="277">
        <f>IF(ProjektStart &gt;  DATE(FirstYear, 12, 31),  DATE(FirstYear, 1, 1), MAX(ProjektStart,DATE(FirstYear, 1, 1)))</f>
        <v>44197</v>
      </c>
      <c r="I209" s="277">
        <f>IF(ProjektSlut &lt;  DATE(FirstYear, 1, 1),  DATE(FirstYear, 12, 31), MIN(ProjektSlut,DATE(FirstYear, 12, 31)))</f>
        <v>44561</v>
      </c>
      <c r="M209" s="278" t="b">
        <v>0</v>
      </c>
    </row>
    <row r="210" spans="1:13" x14ac:dyDescent="0.25">
      <c r="A210" s="278" t="str">
        <f>IF(Budget!$C$62="", "", INDEX(Partnere!$A$2:$A$12, MATCH(Budget!$C$62, Partnere!$F$2:$F$12, 0)))</f>
        <v/>
      </c>
      <c r="B210" s="279" t="str">
        <f>IF(Budget!$E$62="", "", ROUND(Budget!$E$62,0))</f>
        <v/>
      </c>
      <c r="C210" s="281" t="s">
        <v>715</v>
      </c>
      <c r="D210" s="278" t="str">
        <f>IF(Budget!$A$62="","",VLOOKUP(Budget!$A$62,OmkostningsExpenseTabel[#Data],2,FALSE))</f>
        <v/>
      </c>
      <c r="H210" s="277">
        <f>IF(ProjektStart &gt;  DATE(FirstYear+1, 12, 31),  DATE(FirstYear+1, 1, 1), MAX(ProjektStart,DATE(FirstYear+1, 1, 1)))</f>
        <v>44562</v>
      </c>
      <c r="I210" s="277">
        <f>IF(ProjektSlut &lt;  DATE(FirstYear+1, 1, 1),  DATE(FirstYear+1, 12, 31), MIN(ProjektSlut,DATE(FirstYear+1, 12, 31)))</f>
        <v>44926</v>
      </c>
      <c r="M210" s="278" t="b">
        <v>0</v>
      </c>
    </row>
    <row r="211" spans="1:13" x14ac:dyDescent="0.25">
      <c r="A211" s="278" t="str">
        <f>IF(Budget!$C$62="", "", INDEX(Partnere!$A$2:$A$12, MATCH(Budget!$C$62, Partnere!$F$2:$F$12, 0)))</f>
        <v/>
      </c>
      <c r="B211" s="279" t="str">
        <f>IF(Budget!$F$62="", "", ROUND(Budget!$F$62,0))</f>
        <v/>
      </c>
      <c r="C211" s="281" t="s">
        <v>715</v>
      </c>
      <c r="D211" s="278" t="str">
        <f>IF(Budget!$A$62="","",VLOOKUP(Budget!$A$62,OmkostningsExpenseTabel[#Data],2,FALSE))</f>
        <v/>
      </c>
      <c r="H211" s="277">
        <f>IF(ProjektStart &gt;  DATE(FirstYear+2, 12, 31),  DATE(FirstYear+2, 1, 1), MAX(ProjektStart,DATE(FirstYear+2, 1, 1)))</f>
        <v>44927</v>
      </c>
      <c r="I211" s="277">
        <f>IF(ProjektSlut &lt;  DATE(FirstYear+2, 1, 1),  DATE(FirstYear+2, 12, 31), MIN(ProjektSlut,DATE(FirstYear+2, 12, 31)))</f>
        <v>45291</v>
      </c>
      <c r="M211" s="278" t="b">
        <v>0</v>
      </c>
    </row>
    <row r="212" spans="1:13" x14ac:dyDescent="0.25">
      <c r="A212" s="278" t="str">
        <f>IF(Budget!$C$62="", "", INDEX(Partnere!$A$2:$A$12, MATCH(Budget!$C$62, Partnere!$F$2:$F$12, 0)))</f>
        <v/>
      </c>
      <c r="B212" s="279" t="str">
        <f>IF(Budget!$G$62="", "", ROUND(Budget!$G$62,0))</f>
        <v/>
      </c>
      <c r="C212" s="281" t="s">
        <v>715</v>
      </c>
      <c r="D212" s="278" t="str">
        <f>IF(Budget!$A$62="","",VLOOKUP(Budget!$A$62,OmkostningsExpenseTabel[#Data],2,FALSE))</f>
        <v/>
      </c>
      <c r="H212" s="277">
        <f>IF(ProjektStart &gt;  DATE(FirstYear+3, 12, 31),  DATE(FirstYear+3, 1, 1), MAX(ProjektStart,DATE(FirstYear+3, 1, 1)))</f>
        <v>45292</v>
      </c>
      <c r="I212" s="277">
        <f>IF(ProjektSlut &lt;  DATE(FirstYear+3, 1, 1),  DATE(FirstYear+3, 12, 31), MIN(ProjektSlut,DATE(FirstYear+3, 12, 31)))</f>
        <v>45657</v>
      </c>
      <c r="M212" s="278" t="b">
        <v>0</v>
      </c>
    </row>
    <row r="213" spans="1:13" x14ac:dyDescent="0.25">
      <c r="A213" s="278" t="str">
        <f>IF(Budget!$C$62="", "", INDEX(Partnere!$A$2:$A$12, MATCH(Budget!$C$62, Partnere!$F$2:$F$12, 0)))</f>
        <v/>
      </c>
      <c r="B213" s="279" t="str">
        <f>IF(Budget!$H$62="", "", ROUND(Budget!$H$62,0))</f>
        <v/>
      </c>
      <c r="C213" s="281" t="s">
        <v>715</v>
      </c>
      <c r="D213" s="278" t="str">
        <f>IF(Budget!$A$62="","",VLOOKUP(Budget!$A$62,OmkostningsExpenseTabel[#Data],2,FALSE))</f>
        <v/>
      </c>
      <c r="H213" s="277">
        <f>IF(ProjektStart &gt;  DATE(FirstYear+4, 12, 31),  DATE(FirstYear+4, 1, 1), MAX(ProjektStart,DATE(FirstYear+4, 1, 1)))</f>
        <v>45658</v>
      </c>
      <c r="I213" s="277">
        <f>IF(ProjektSlut &lt;  DATE(FirstYear+4, 1, 1),  DATE(FirstYear+4, 12, 31), MIN(ProjektSlut,DATE(FirstYear+4, 12, 31)))</f>
        <v>46022</v>
      </c>
      <c r="M213" s="278" t="b">
        <v>0</v>
      </c>
    </row>
    <row r="214" spans="1:13" s="281" customFormat="1" x14ac:dyDescent="0.25">
      <c r="A214" s="278" t="str">
        <f>IF(Budget!$C$62="", "", INDEX(Partnere!$A$2:$A$12, MATCH(Budget!$C$62, Partnere!$F$2:$F$12, 0)))</f>
        <v/>
      </c>
      <c r="B214" s="280" t="str">
        <f>IF(Budget!$I$62="", "", ROUND(Budget!$I$62,0))</f>
        <v/>
      </c>
      <c r="C214" s="281" t="s">
        <v>715</v>
      </c>
      <c r="D214" s="281" t="str">
        <f>IF(Budget!$A$62="","",VLOOKUP(Budget!$A$62,OmkostningsExpenseTabel[#Data],2,FALSE))</f>
        <v/>
      </c>
      <c r="H214" s="282">
        <f>IF(ProjektStart &gt;  DATE(FirstYear+5, 12, 31),  DATE(FirstYear+5, 1, 1), MAX(ProjektStart,DATE(FirstYear+5, 1, 1)))</f>
        <v>46023</v>
      </c>
      <c r="I214" s="282">
        <f>IF(ProjektSlut &lt;  DATE(FirstYear+5, 1, 1),  DATE(FirstYear+5, 12, 31), MIN(ProjektSlut,DATE(FirstYear+5, 12, 31)))</f>
        <v>46387</v>
      </c>
      <c r="M214" s="278" t="b">
        <v>0</v>
      </c>
    </row>
    <row r="215" spans="1:13" s="281" customFormat="1" x14ac:dyDescent="0.25">
      <c r="A215" s="278" t="str">
        <f>IF(Budget!$C$62="", "", INDEX(Partnere!$A$2:$A$12, MATCH(Budget!$C$62, Partnere!$F$2:$F$12, 0)))</f>
        <v/>
      </c>
      <c r="B215" s="280" t="str">
        <f>IF(Budget!$J$62="", "", ROUND(Budget!$J$62,0))</f>
        <v/>
      </c>
      <c r="C215" s="281" t="s">
        <v>715</v>
      </c>
      <c r="D215" s="281" t="str">
        <f>IF(Budget!$A$62="","",VLOOKUP(Budget!$A$62,OmkostningsExpenseTabel[#Data],2,FALSE))</f>
        <v/>
      </c>
      <c r="H215" s="277">
        <f>IF(ProjektStart &gt;  DATE(FirstYear+6, 12, 31),  DATE(FirstYear+6, 1, 1), MAX(ProjektStart,DATE(FirstYear+6, 1, 1)))</f>
        <v>46388</v>
      </c>
      <c r="I215" s="277">
        <f>IF(ProjektSlut &lt;  DATE(FirstYear+6, 1, 1),  DATE(FirstYear+6, 12, 31), MIN(ProjektSlut,DATE(FirstYear+6, 12, 31)))</f>
        <v>46752</v>
      </c>
      <c r="M215" s="278" t="b">
        <v>0</v>
      </c>
    </row>
    <row r="216" spans="1:13" s="281" customFormat="1" x14ac:dyDescent="0.25">
      <c r="A216" s="278" t="str">
        <f>IF(Budget!$C$62="", "", INDEX(Partnere!$A$2:$A$12, MATCH(Budget!$C$62, Partnere!$F$2:$F$12, 0)))</f>
        <v/>
      </c>
      <c r="B216" s="280" t="str">
        <f>IF(Budget!$K$62="", "", ROUND(Budget!$K$62,0))</f>
        <v/>
      </c>
      <c r="C216" s="281" t="s">
        <v>715</v>
      </c>
      <c r="D216" s="281" t="str">
        <f>IF(Budget!$A$62="","",VLOOKUP(Budget!$A$62,OmkostningsExpenseTabel[#Data],2,FALSE))</f>
        <v/>
      </c>
      <c r="H216" s="277">
        <f>IF(ProjektStart &gt;  DATE(FirstYear+7, 12, 31),  DATE(FirstYear+7, 1, 1), MAX(ProjektStart,DATE(FirstYear+7, 1, 1)))</f>
        <v>46753</v>
      </c>
      <c r="I216" s="277">
        <f>IF(ProjektSlut &lt;  DATE(FirstYear+7, 1, 1),  DATE(FirstYear+7, 12, 31), MIN(ProjektSlut,DATE(FirstYear+7, 12, 31)))</f>
        <v>47118</v>
      </c>
      <c r="M216" s="278" t="b">
        <v>0</v>
      </c>
    </row>
    <row r="217" spans="1:13" s="281" customFormat="1" x14ac:dyDescent="0.25">
      <c r="A217" s="278" t="str">
        <f>IF(Budget!$C$62="", "", INDEX(Partnere!$A$2:$A$12, MATCH(Budget!$C$62, Partnere!$F$2:$F$12, 0)))</f>
        <v/>
      </c>
      <c r="B217" s="280" t="str">
        <f>IF(Budget!$L$62="", "", ROUND(Budget!$L$62,0))</f>
        <v/>
      </c>
      <c r="C217" s="281" t="s">
        <v>715</v>
      </c>
      <c r="D217" s="281" t="str">
        <f>IF(Budget!$A$62="","",VLOOKUP(Budget!$A$62,OmkostningsExpenseTabel[#Data],2,FALSE))</f>
        <v/>
      </c>
      <c r="H217" s="277">
        <f>IF(ProjektStart &gt;  DATE(FirstYear+8, 12, 31),  DATE(FirstYear+8, 1, 1), MAX(ProjektStart,DATE(FirstYear+8, 1, 1)))</f>
        <v>47119</v>
      </c>
      <c r="I217" s="277">
        <f>IF(ProjektSlut &lt;  DATE(FirstYear+8, 1, 1),  DATE(FirstYear+8, 12, 31), MIN(ProjektSlut,DATE(FirstYear+8, 12, 31)))</f>
        <v>47483</v>
      </c>
      <c r="M217" s="278" t="b">
        <v>0</v>
      </c>
    </row>
    <row r="218" spans="1:13" x14ac:dyDescent="0.25">
      <c r="A218" s="278" t="str">
        <f>IF(Budget!$C$63="", "", INDEX(Partnere!$A$2:$A$12, MATCH(Budget!$C$63, Partnere!$F$2:$F$12, 0)))</f>
        <v/>
      </c>
      <c r="B218" s="279" t="str">
        <f>IF(Budget!$D$63="", "", ROUND(Budget!$D$63,0))</f>
        <v/>
      </c>
      <c r="C218" s="281" t="s">
        <v>715</v>
      </c>
      <c r="D218" s="278" t="str">
        <f>IF(Budget!$A$63="","",VLOOKUP(Budget!$A$63,OmkostningsExpenseTabel[#Data],2,FALSE))</f>
        <v/>
      </c>
      <c r="H218" s="277">
        <f>IF(ProjektStart &gt;  DATE(FirstYear, 12, 31),  DATE(FirstYear, 1, 1), MAX(ProjektStart,DATE(FirstYear, 1, 1)))</f>
        <v>44197</v>
      </c>
      <c r="I218" s="277">
        <f>IF(ProjektSlut &lt;  DATE(FirstYear, 1, 1),  DATE(FirstYear, 12, 31), MIN(ProjektSlut,DATE(FirstYear, 12, 31)))</f>
        <v>44561</v>
      </c>
      <c r="M218" s="278" t="b">
        <v>0</v>
      </c>
    </row>
    <row r="219" spans="1:13" x14ac:dyDescent="0.25">
      <c r="A219" s="278" t="str">
        <f>IF(Budget!$C$63="", "", INDEX(Partnere!$A$2:$A$12, MATCH(Budget!$C$63, Partnere!$F$2:$F$12, 0)))</f>
        <v/>
      </c>
      <c r="B219" s="279" t="str">
        <f>IF(Budget!$E$63="", "", ROUND(Budget!$E$63,0))</f>
        <v/>
      </c>
      <c r="C219" s="281" t="s">
        <v>715</v>
      </c>
      <c r="D219" s="278" t="str">
        <f>IF(Budget!$A$63="","",VLOOKUP(Budget!$A$63,OmkostningsExpenseTabel[#Data],2,FALSE))</f>
        <v/>
      </c>
      <c r="H219" s="277">
        <f>IF(ProjektStart &gt;  DATE(FirstYear+1, 12, 31),  DATE(FirstYear+1, 1, 1), MAX(ProjektStart,DATE(FirstYear+1, 1, 1)))</f>
        <v>44562</v>
      </c>
      <c r="I219" s="277">
        <f>IF(ProjektSlut &lt;  DATE(FirstYear+1, 1, 1),  DATE(FirstYear+1, 12, 31), MIN(ProjektSlut,DATE(FirstYear+1, 12, 31)))</f>
        <v>44926</v>
      </c>
      <c r="M219" s="278" t="b">
        <v>0</v>
      </c>
    </row>
    <row r="220" spans="1:13" x14ac:dyDescent="0.25">
      <c r="A220" s="278" t="str">
        <f>IF(Budget!$C$63="", "", INDEX(Partnere!$A$2:$A$12, MATCH(Budget!$C$63, Partnere!$F$2:$F$12, 0)))</f>
        <v/>
      </c>
      <c r="B220" s="279" t="str">
        <f>IF(Budget!$F$63="", "", ROUND(Budget!$F$63,0))</f>
        <v/>
      </c>
      <c r="C220" s="281" t="s">
        <v>715</v>
      </c>
      <c r="D220" s="278" t="str">
        <f>IF(Budget!$A$63="","",VLOOKUP(Budget!$A$63,OmkostningsExpenseTabel[#Data],2,FALSE))</f>
        <v/>
      </c>
      <c r="H220" s="277">
        <f>IF(ProjektStart &gt;  DATE(FirstYear+2, 12, 31),  DATE(FirstYear+2, 1, 1), MAX(ProjektStart,DATE(FirstYear+2, 1, 1)))</f>
        <v>44927</v>
      </c>
      <c r="I220" s="277">
        <f>IF(ProjektSlut &lt;  DATE(FirstYear+2, 1, 1),  DATE(FirstYear+2, 12, 31), MIN(ProjektSlut,DATE(FirstYear+2, 12, 31)))</f>
        <v>45291</v>
      </c>
      <c r="M220" s="278" t="b">
        <v>0</v>
      </c>
    </row>
    <row r="221" spans="1:13" x14ac:dyDescent="0.25">
      <c r="A221" s="278" t="str">
        <f>IF(Budget!$C$63="", "", INDEX(Partnere!$A$2:$A$12, MATCH(Budget!$C$63, Partnere!$F$2:$F$12, 0)))</f>
        <v/>
      </c>
      <c r="B221" s="279" t="str">
        <f>IF(Budget!$G$63="", "", ROUND(Budget!$G$63,0))</f>
        <v/>
      </c>
      <c r="C221" s="281" t="s">
        <v>715</v>
      </c>
      <c r="D221" s="278" t="str">
        <f>IF(Budget!$A$63="","",VLOOKUP(Budget!$A$63,OmkostningsExpenseTabel[#Data],2,FALSE))</f>
        <v/>
      </c>
      <c r="H221" s="277">
        <f>IF(ProjektStart &gt;  DATE(FirstYear+3, 12, 31),  DATE(FirstYear+3, 1, 1), MAX(ProjektStart,DATE(FirstYear+3, 1, 1)))</f>
        <v>45292</v>
      </c>
      <c r="I221" s="277">
        <f>IF(ProjektSlut &lt;  DATE(FirstYear+3, 1, 1),  DATE(FirstYear+3, 12, 31), MIN(ProjektSlut,DATE(FirstYear+3, 12, 31)))</f>
        <v>45657</v>
      </c>
      <c r="M221" s="278" t="b">
        <v>0</v>
      </c>
    </row>
    <row r="222" spans="1:13" x14ac:dyDescent="0.25">
      <c r="A222" s="278" t="str">
        <f>IF(Budget!$C$63="", "", INDEX(Partnere!$A$2:$A$12, MATCH(Budget!$C$63, Partnere!$F$2:$F$12, 0)))</f>
        <v/>
      </c>
      <c r="B222" s="279" t="str">
        <f>IF(Budget!$H$63="", "", ROUND(Budget!$H$63,0))</f>
        <v/>
      </c>
      <c r="C222" s="281" t="s">
        <v>715</v>
      </c>
      <c r="D222" s="278" t="str">
        <f>IF(Budget!$A$63="","",VLOOKUP(Budget!$A$63,OmkostningsExpenseTabel[#Data],2,FALSE))</f>
        <v/>
      </c>
      <c r="H222" s="277">
        <f>IF(ProjektStart &gt;  DATE(FirstYear+4, 12, 31),  DATE(FirstYear+4, 1, 1), MAX(ProjektStart,DATE(FirstYear+4, 1, 1)))</f>
        <v>45658</v>
      </c>
      <c r="I222" s="277">
        <f>IF(ProjektSlut &lt;  DATE(FirstYear+4, 1, 1),  DATE(FirstYear+4, 12, 31), MIN(ProjektSlut,DATE(FirstYear+4, 12, 31)))</f>
        <v>46022</v>
      </c>
      <c r="M222" s="278" t="b">
        <v>0</v>
      </c>
    </row>
    <row r="223" spans="1:13" s="281" customFormat="1" x14ac:dyDescent="0.25">
      <c r="A223" s="278" t="str">
        <f>IF(Budget!$C$63="", "", INDEX(Partnere!$A$2:$A$12, MATCH(Budget!$C$63, Partnere!$F$2:$F$12, 0)))</f>
        <v/>
      </c>
      <c r="B223" s="280" t="str">
        <f>IF(Budget!$I$63="", "", ROUND(Budget!$I$63,0))</f>
        <v/>
      </c>
      <c r="C223" s="281" t="s">
        <v>715</v>
      </c>
      <c r="D223" s="281" t="str">
        <f>IF(Budget!$A$63="","",VLOOKUP(Budget!$A$63,OmkostningsExpenseTabel[#Data],2,FALSE))</f>
        <v/>
      </c>
      <c r="H223" s="282">
        <f>IF(ProjektStart &gt;  DATE(FirstYear+5, 12, 31),  DATE(FirstYear+5, 1, 1), MAX(ProjektStart,DATE(FirstYear+5, 1, 1)))</f>
        <v>46023</v>
      </c>
      <c r="I223" s="282">
        <f>IF(ProjektSlut &lt;  DATE(FirstYear+5, 1, 1),  DATE(FirstYear+5, 12, 31), MIN(ProjektSlut,DATE(FirstYear+5, 12, 31)))</f>
        <v>46387</v>
      </c>
      <c r="M223" s="278" t="b">
        <v>0</v>
      </c>
    </row>
    <row r="224" spans="1:13" s="281" customFormat="1" x14ac:dyDescent="0.25">
      <c r="A224" s="278" t="str">
        <f>IF(Budget!$C$63="", "", INDEX(Partnere!$A$2:$A$12, MATCH(Budget!$C$63, Partnere!$F$2:$F$12, 0)))</f>
        <v/>
      </c>
      <c r="B224" s="280" t="str">
        <f>IF(Budget!$J$63="", "", ROUND(Budget!$J$63,0))</f>
        <v/>
      </c>
      <c r="C224" s="281" t="s">
        <v>715</v>
      </c>
      <c r="D224" s="281" t="str">
        <f>IF(Budget!$A$63="","",VLOOKUP(Budget!$A$63,OmkostningsExpenseTabel[#Data],2,FALSE))</f>
        <v/>
      </c>
      <c r="H224" s="277">
        <f>IF(ProjektStart &gt;  DATE(FirstYear+6, 12, 31),  DATE(FirstYear+6, 1, 1), MAX(ProjektStart,DATE(FirstYear+6, 1, 1)))</f>
        <v>46388</v>
      </c>
      <c r="I224" s="277">
        <f>IF(ProjektSlut &lt;  DATE(FirstYear+6, 1, 1),  DATE(FirstYear+6, 12, 31), MIN(ProjektSlut,DATE(FirstYear+6, 12, 31)))</f>
        <v>46752</v>
      </c>
      <c r="M224" s="278" t="b">
        <v>0</v>
      </c>
    </row>
    <row r="225" spans="1:18" s="281" customFormat="1" x14ac:dyDescent="0.25">
      <c r="A225" s="278" t="str">
        <f>IF(Budget!$C$63="", "", INDEX(Partnere!$A$2:$A$12, MATCH(Budget!$C$63, Partnere!$F$2:$F$12, 0)))</f>
        <v/>
      </c>
      <c r="B225" s="280" t="str">
        <f>IF(Budget!$K$63="", "", ROUND(Budget!$K$63,0))</f>
        <v/>
      </c>
      <c r="C225" s="281" t="s">
        <v>715</v>
      </c>
      <c r="D225" s="281" t="str">
        <f>IF(Budget!$A$63="","",VLOOKUP(Budget!$A$63,OmkostningsExpenseTabel[#Data],2,FALSE))</f>
        <v/>
      </c>
      <c r="H225" s="277">
        <f>IF(ProjektStart &gt;  DATE(FirstYear+7, 12, 31),  DATE(FirstYear+7, 1, 1), MAX(ProjektStart,DATE(FirstYear+7, 1, 1)))</f>
        <v>46753</v>
      </c>
      <c r="I225" s="277">
        <f>IF(ProjektSlut &lt;  DATE(FirstYear+7, 1, 1),  DATE(FirstYear+7, 12, 31), MIN(ProjektSlut,DATE(FirstYear+7, 12, 31)))</f>
        <v>47118</v>
      </c>
      <c r="M225" s="278" t="b">
        <v>0</v>
      </c>
    </row>
    <row r="226" spans="1:18" s="281" customFormat="1" x14ac:dyDescent="0.25">
      <c r="A226" s="278" t="str">
        <f>IF(Budget!$C$63="", "", INDEX(Partnere!$A$2:$A$12, MATCH(Budget!$C$63, Partnere!$F$2:$F$12, 0)))</f>
        <v/>
      </c>
      <c r="B226" s="280" t="str">
        <f>IF(Budget!$L$63="", "", ROUND(Budget!$L$63,0))</f>
        <v/>
      </c>
      <c r="C226" s="281" t="s">
        <v>715</v>
      </c>
      <c r="D226" s="281" t="str">
        <f>IF(Budget!$A$63="","",VLOOKUP(Budget!$A$63,OmkostningsExpenseTabel[#Data],2,FALSE))</f>
        <v/>
      </c>
      <c r="H226" s="277">
        <f>IF(ProjektStart &gt;  DATE(FirstYear+8, 12, 31),  DATE(FirstYear+8, 1, 1), MAX(ProjektStart,DATE(FirstYear+8, 1, 1)))</f>
        <v>47119</v>
      </c>
      <c r="I226" s="277">
        <f>IF(ProjektSlut &lt;  DATE(FirstYear+8, 1, 1),  DATE(FirstYear+8, 12, 31), MIN(ProjektSlut,DATE(FirstYear+8, 12, 31)))</f>
        <v>47483</v>
      </c>
      <c r="M226" s="278" t="b">
        <v>0</v>
      </c>
    </row>
    <row r="227" spans="1:18" x14ac:dyDescent="0.25">
      <c r="A227" s="278">
        <v>1</v>
      </c>
      <c r="B227" s="279" t="str">
        <f>IF('Institution Tables'!$C$12="", "", ROUND('Institution Tables'!$C$12,0))</f>
        <v/>
      </c>
      <c r="C227" s="278" t="s">
        <v>715</v>
      </c>
      <c r="D227" s="278" t="s">
        <v>196</v>
      </c>
      <c r="H227" s="277">
        <f>IF(ProjektStart &gt;  DATE(FirstYear, 12, 31),  DATE(FirstYear, 1, 1), MAX(ProjektStart,DATE(FirstYear, 1, 1)))</f>
        <v>44197</v>
      </c>
      <c r="I227" s="277">
        <f>IF(ProjektSlut &lt;  DATE(FirstYear, 1, 1),  DATE(FirstYear, 12, 31), MIN(ProjektSlut,DATE(FirstYear, 12, 31)))</f>
        <v>44561</v>
      </c>
      <c r="M227" s="278" t="b">
        <v>0</v>
      </c>
      <c r="R227" s="283"/>
    </row>
    <row r="228" spans="1:18" x14ac:dyDescent="0.25">
      <c r="A228" s="278">
        <v>1</v>
      </c>
      <c r="B228" s="279" t="str">
        <f>IF('Institution Tables'!$D$12="", "", ROUND('Institution Tables'!$D$12,0))</f>
        <v/>
      </c>
      <c r="C228" s="278" t="s">
        <v>715</v>
      </c>
      <c r="D228" s="278" t="s">
        <v>196</v>
      </c>
      <c r="H228" s="277">
        <f>IF(ProjektStart &gt;  DATE(FirstYear+1, 12, 31),  DATE(FirstYear+1, 1, 1), MAX(ProjektStart,DATE(FirstYear+1, 1, 1)))</f>
        <v>44562</v>
      </c>
      <c r="I228" s="277">
        <f>IF(ProjektSlut &lt;  DATE(FirstYear+1, 1, 1),  DATE(FirstYear+1, 12, 31), MIN(ProjektSlut,DATE(FirstYear+1, 12, 31)))</f>
        <v>44926</v>
      </c>
      <c r="M228" s="278" t="b">
        <v>0</v>
      </c>
    </row>
    <row r="229" spans="1:18" x14ac:dyDescent="0.25">
      <c r="A229" s="278">
        <v>1</v>
      </c>
      <c r="B229" s="279" t="str">
        <f>IF('Institution Tables'!$E$12="", "", ROUND('Institution Tables'!$E$12,0))</f>
        <v/>
      </c>
      <c r="C229" s="278" t="s">
        <v>715</v>
      </c>
      <c r="D229" s="278" t="s">
        <v>196</v>
      </c>
      <c r="H229" s="277">
        <f>IF(ProjektStart &gt;  DATE(FirstYear+2, 12, 31),  DATE(FirstYear+2, 1, 1), MAX(ProjektStart,DATE(FirstYear+2, 1, 1)))</f>
        <v>44927</v>
      </c>
      <c r="I229" s="277">
        <f>IF(ProjektSlut &lt;  DATE(FirstYear+2, 1, 1),  DATE(FirstYear+2, 12, 31), MIN(ProjektSlut,DATE(FirstYear+2, 12, 31)))</f>
        <v>45291</v>
      </c>
      <c r="M229" s="278" t="b">
        <v>0</v>
      </c>
    </row>
    <row r="230" spans="1:18" x14ac:dyDescent="0.25">
      <c r="A230" s="278">
        <v>1</v>
      </c>
      <c r="B230" s="279" t="str">
        <f>IF('Institution Tables'!$F$12="", "", ROUND('Institution Tables'!$F$12,0))</f>
        <v/>
      </c>
      <c r="C230" s="278" t="s">
        <v>715</v>
      </c>
      <c r="D230" s="278" t="s">
        <v>196</v>
      </c>
      <c r="H230" s="277">
        <f>IF(ProjektStart &gt;  DATE(FirstYear+3, 12, 31),  DATE(FirstYear+3, 1, 1), MAX(ProjektStart,DATE(FirstYear+3, 1, 1)))</f>
        <v>45292</v>
      </c>
      <c r="I230" s="277">
        <f>IF(ProjektSlut &lt;  DATE(FirstYear+3, 1, 1),  DATE(FirstYear+3, 12, 31), MIN(ProjektSlut,DATE(FirstYear+3, 12, 31)))</f>
        <v>45657</v>
      </c>
      <c r="M230" s="278" t="b">
        <v>0</v>
      </c>
    </row>
    <row r="231" spans="1:18" x14ac:dyDescent="0.25">
      <c r="A231" s="278">
        <v>1</v>
      </c>
      <c r="B231" s="279" t="str">
        <f>IF('Institution Tables'!$G$12="", "", ROUND('Institution Tables'!$G$12,0))</f>
        <v/>
      </c>
      <c r="C231" s="278" t="s">
        <v>715</v>
      </c>
      <c r="D231" s="278" t="s">
        <v>196</v>
      </c>
      <c r="H231" s="277">
        <f>IF(ProjektStart &gt;  DATE(FirstYear+4, 12, 31),  DATE(FirstYear+4, 1, 1), MAX(ProjektStart,DATE(FirstYear+4, 1, 1)))</f>
        <v>45658</v>
      </c>
      <c r="I231" s="277">
        <f>IF(ProjektSlut &lt;  DATE(FirstYear+4, 1, 1),  DATE(FirstYear+4, 12, 31), MIN(ProjektSlut,DATE(FirstYear+4, 12, 31)))</f>
        <v>46022</v>
      </c>
      <c r="M231" s="278" t="b">
        <v>0</v>
      </c>
    </row>
    <row r="232" spans="1:18" s="281" customFormat="1" x14ac:dyDescent="0.25">
      <c r="A232" s="281">
        <v>1</v>
      </c>
      <c r="B232" s="279" t="str">
        <f>IF('Institution Tables'!$H$12="", "", ROUND('Institution Tables'!$H$12,0))</f>
        <v/>
      </c>
      <c r="C232" s="281" t="s">
        <v>715</v>
      </c>
      <c r="D232" s="281" t="s">
        <v>196</v>
      </c>
      <c r="H232" s="282">
        <f>IF(ProjektStart &gt;  DATE(FirstYear+5, 12, 31),  DATE(FirstYear+5, 1, 1), MAX(ProjektStart,DATE(FirstYear+5, 1, 1)))</f>
        <v>46023</v>
      </c>
      <c r="I232" s="282">
        <f>IF(ProjektSlut &lt;  DATE(FirstYear+5, 1, 1),  DATE(FirstYear+5, 12, 31), MIN(ProjektSlut,DATE(FirstYear+5, 12, 31)))</f>
        <v>46387</v>
      </c>
      <c r="M232" s="281" t="b">
        <v>0</v>
      </c>
      <c r="Q232" s="278"/>
    </row>
    <row r="233" spans="1:18" s="281" customFormat="1" x14ac:dyDescent="0.25">
      <c r="A233" s="281">
        <v>1</v>
      </c>
      <c r="B233" s="279" t="str">
        <f>IF('Institution Tables'!$I$12="", "", ROUND('Institution Tables'!$I$12,0))</f>
        <v/>
      </c>
      <c r="C233" s="281" t="s">
        <v>715</v>
      </c>
      <c r="D233" s="281" t="s">
        <v>196</v>
      </c>
      <c r="H233" s="277">
        <f>IF(ProjektStart &gt;  DATE(FirstYear+6, 12, 31),  DATE(FirstYear+6, 1, 1), MAX(ProjektStart,DATE(FirstYear+6, 1, 1)))</f>
        <v>46388</v>
      </c>
      <c r="I233" s="277">
        <f>IF(ProjektSlut &lt;  DATE(FirstYear+6, 1, 1),  DATE(FirstYear+6, 12, 31), MIN(ProjektSlut,DATE(FirstYear+6, 12, 31)))</f>
        <v>46752</v>
      </c>
      <c r="M233" s="281" t="b">
        <v>0</v>
      </c>
      <c r="Q233" s="278"/>
    </row>
    <row r="234" spans="1:18" s="281" customFormat="1" x14ac:dyDescent="0.25">
      <c r="A234" s="281">
        <v>1</v>
      </c>
      <c r="B234" s="279" t="str">
        <f>IF('Institution Tables'!$J$12="", "", ROUND('Institution Tables'!$J$12,0))</f>
        <v/>
      </c>
      <c r="C234" s="281" t="s">
        <v>715</v>
      </c>
      <c r="D234" s="281" t="s">
        <v>196</v>
      </c>
      <c r="H234" s="277">
        <f>IF(ProjektStart &gt;  DATE(FirstYear+7, 12, 31),  DATE(FirstYear+7, 1, 1), MAX(ProjektStart,DATE(FirstYear+7, 1, 1)))</f>
        <v>46753</v>
      </c>
      <c r="I234" s="277">
        <f>IF(ProjektSlut &lt;  DATE(FirstYear+7, 1, 1),  DATE(FirstYear+7, 12, 31), MIN(ProjektSlut,DATE(FirstYear+7, 12, 31)))</f>
        <v>47118</v>
      </c>
      <c r="M234" s="281" t="b">
        <v>0</v>
      </c>
      <c r="Q234" s="278"/>
    </row>
    <row r="235" spans="1:18" s="281" customFormat="1" x14ac:dyDescent="0.25">
      <c r="A235" s="281">
        <v>1</v>
      </c>
      <c r="B235" s="279" t="str">
        <f>IF('Institution Tables'!$K$12="", "", ROUND('Institution Tables'!$K$12,0))</f>
        <v/>
      </c>
      <c r="C235" s="281" t="s">
        <v>715</v>
      </c>
      <c r="D235" s="281" t="s">
        <v>196</v>
      </c>
      <c r="H235" s="277">
        <f>IF(ProjektStart &gt;  DATE(FirstYear+8, 12, 31),  DATE(FirstYear+8, 1, 1), MAX(ProjektStart,DATE(FirstYear+8, 1, 1)))</f>
        <v>47119</v>
      </c>
      <c r="I235" s="277">
        <f>IF(ProjektSlut &lt;  DATE(FirstYear+8, 1, 1),  DATE(FirstYear+8, 12, 31), MIN(ProjektSlut,DATE(FirstYear+8, 12, 31)))</f>
        <v>47483</v>
      </c>
      <c r="M235" s="281" t="b">
        <v>0</v>
      </c>
      <c r="Q235" s="278"/>
    </row>
    <row r="236" spans="1:18" x14ac:dyDescent="0.25">
      <c r="A236" s="278">
        <v>2</v>
      </c>
      <c r="B236" s="279" t="str">
        <f>IF('Institution Tables'!$Q$12="", "", ROUND('Institution Tables'!$Q$12,0))</f>
        <v/>
      </c>
      <c r="C236" s="281" t="s">
        <v>715</v>
      </c>
      <c r="D236" s="281" t="s">
        <v>196</v>
      </c>
      <c r="H236" s="277">
        <f>IF(ProjektStart &gt;  DATE(FirstYear, 12, 31),  DATE(FirstYear, 1, 1), MAX(ProjektStart,DATE(FirstYear, 1, 1)))</f>
        <v>44197</v>
      </c>
      <c r="I236" s="277">
        <f>IF(ProjektSlut &lt;  DATE(FirstYear, 1, 1),  DATE(FirstYear, 12, 31), MIN(ProjektSlut,DATE(FirstYear, 12, 31)))</f>
        <v>44561</v>
      </c>
      <c r="M236" s="281" t="b">
        <v>0</v>
      </c>
    </row>
    <row r="237" spans="1:18" x14ac:dyDescent="0.25">
      <c r="A237" s="278">
        <v>2</v>
      </c>
      <c r="B237" s="279" t="str">
        <f>IF('Institution Tables'!$R$12="", "", ROUND('Institution Tables'!$R$12,0))</f>
        <v/>
      </c>
      <c r="C237" s="281" t="s">
        <v>715</v>
      </c>
      <c r="D237" s="281" t="s">
        <v>196</v>
      </c>
      <c r="H237" s="277">
        <f>IF(ProjektStart &gt;  DATE(FirstYear+1, 12, 31),  DATE(FirstYear+1, 1, 1), MAX(ProjektStart,DATE(FirstYear+1, 1, 1)))</f>
        <v>44562</v>
      </c>
      <c r="I237" s="277">
        <f>IF(ProjektSlut &lt;  DATE(FirstYear+1, 1, 1),  DATE(FirstYear+1, 12, 31), MIN(ProjektSlut,DATE(FirstYear+1, 12, 31)))</f>
        <v>44926</v>
      </c>
      <c r="M237" s="281" t="b">
        <v>0</v>
      </c>
    </row>
    <row r="238" spans="1:18" x14ac:dyDescent="0.25">
      <c r="A238" s="278">
        <v>2</v>
      </c>
      <c r="B238" s="279" t="str">
        <f>IF('Institution Tables'!$S$12="", "", ROUND('Institution Tables'!$S$12,0))</f>
        <v/>
      </c>
      <c r="C238" s="281" t="s">
        <v>715</v>
      </c>
      <c r="D238" s="281" t="s">
        <v>196</v>
      </c>
      <c r="H238" s="277">
        <f>IF(ProjektStart &gt;  DATE(FirstYear+2, 12, 31),  DATE(FirstYear+2, 1, 1), MAX(ProjektStart,DATE(FirstYear+2, 1, 1)))</f>
        <v>44927</v>
      </c>
      <c r="I238" s="277">
        <f>IF(ProjektSlut &lt;  DATE(FirstYear+2, 1, 1),  DATE(FirstYear+2, 12, 31), MIN(ProjektSlut,DATE(FirstYear+2, 12, 31)))</f>
        <v>45291</v>
      </c>
      <c r="M238" s="281" t="b">
        <v>0</v>
      </c>
    </row>
    <row r="239" spans="1:18" x14ac:dyDescent="0.25">
      <c r="A239" s="278">
        <v>2</v>
      </c>
      <c r="B239" s="279" t="str">
        <f>IF('Institution Tables'!$T$12="", "", ROUND('Institution Tables'!$T$12,0))</f>
        <v/>
      </c>
      <c r="C239" s="281" t="s">
        <v>715</v>
      </c>
      <c r="D239" s="281" t="s">
        <v>196</v>
      </c>
      <c r="H239" s="277">
        <f>IF(ProjektStart &gt;  DATE(FirstYear+3, 12, 31),  DATE(FirstYear+3, 1, 1), MAX(ProjektStart,DATE(FirstYear+3, 1, 1)))</f>
        <v>45292</v>
      </c>
      <c r="I239" s="277">
        <f>IF(ProjektSlut &lt;  DATE(FirstYear+3, 1, 1),  DATE(FirstYear+3, 12, 31), MIN(ProjektSlut,DATE(FirstYear+3, 12, 31)))</f>
        <v>45657</v>
      </c>
      <c r="M239" s="281" t="b">
        <v>0</v>
      </c>
    </row>
    <row r="240" spans="1:18" x14ac:dyDescent="0.25">
      <c r="A240" s="278">
        <v>2</v>
      </c>
      <c r="B240" s="279" t="str">
        <f>IF('Institution Tables'!$U$12="", "", ROUND('Institution Tables'!$U$12,0))</f>
        <v/>
      </c>
      <c r="C240" s="281" t="s">
        <v>715</v>
      </c>
      <c r="D240" s="281" t="s">
        <v>196</v>
      </c>
      <c r="H240" s="277">
        <f>IF(ProjektStart &gt;  DATE(FirstYear+4, 12, 31),  DATE(FirstYear+4, 1, 1), MAX(ProjektStart,DATE(FirstYear+4, 1, 1)))</f>
        <v>45658</v>
      </c>
      <c r="I240" s="277">
        <f>IF(ProjektSlut &lt;  DATE(FirstYear+4, 1, 1),  DATE(FirstYear+4, 12, 31), MIN(ProjektSlut,DATE(FirstYear+4, 12, 31)))</f>
        <v>46022</v>
      </c>
      <c r="M240" s="281" t="b">
        <v>0</v>
      </c>
    </row>
    <row r="241" spans="1:17" s="281" customFormat="1" x14ac:dyDescent="0.25">
      <c r="A241" s="281">
        <v>2</v>
      </c>
      <c r="B241" s="279" t="str">
        <f>IF('Institution Tables'!$V$12="", "", ROUND('Institution Tables'!$V$12,0))</f>
        <v/>
      </c>
      <c r="C241" s="281" t="s">
        <v>715</v>
      </c>
      <c r="D241" s="281" t="s">
        <v>196</v>
      </c>
      <c r="H241" s="282">
        <f>IF(ProjektStart &gt;  DATE(FirstYear+5, 12, 31),  DATE(FirstYear+5, 1, 1), MAX(ProjektStart,DATE(FirstYear+5, 1, 1)))</f>
        <v>46023</v>
      </c>
      <c r="I241" s="282">
        <f>IF(ProjektSlut &lt;  DATE(FirstYear+5, 1, 1),  DATE(FirstYear+5, 12, 31), MIN(ProjektSlut,DATE(FirstYear+5, 12, 31)))</f>
        <v>46387</v>
      </c>
      <c r="M241" s="281" t="b">
        <v>0</v>
      </c>
      <c r="Q241" s="278"/>
    </row>
    <row r="242" spans="1:17" s="281" customFormat="1" x14ac:dyDescent="0.25">
      <c r="A242" s="281">
        <v>2</v>
      </c>
      <c r="B242" s="279" t="str">
        <f>IF('Institution Tables'!$W$12="", "", ROUND('Institution Tables'!$W$12,0))</f>
        <v/>
      </c>
      <c r="C242" s="281" t="s">
        <v>715</v>
      </c>
      <c r="D242" s="281" t="s">
        <v>196</v>
      </c>
      <c r="H242" s="277">
        <f>IF(ProjektStart &gt;  DATE(FirstYear+6, 12, 31),  DATE(FirstYear+6, 1, 1), MAX(ProjektStart,DATE(FirstYear+6, 1, 1)))</f>
        <v>46388</v>
      </c>
      <c r="I242" s="277">
        <f>IF(ProjektSlut &lt;  DATE(FirstYear+6, 1, 1),  DATE(FirstYear+6, 12, 31), MIN(ProjektSlut,DATE(FirstYear+6, 12, 31)))</f>
        <v>46752</v>
      </c>
      <c r="M242" s="281" t="b">
        <v>0</v>
      </c>
      <c r="Q242" s="278"/>
    </row>
    <row r="243" spans="1:17" s="281" customFormat="1" x14ac:dyDescent="0.25">
      <c r="A243" s="281">
        <v>2</v>
      </c>
      <c r="B243" s="279" t="str">
        <f>IF('Institution Tables'!$X$12="", "", ROUND('Institution Tables'!$X$12,0))</f>
        <v/>
      </c>
      <c r="C243" s="281" t="s">
        <v>715</v>
      </c>
      <c r="D243" s="281" t="s">
        <v>196</v>
      </c>
      <c r="H243" s="277">
        <f>IF(ProjektStart &gt;  DATE(FirstYear+7, 12, 31),  DATE(FirstYear+7, 1, 1), MAX(ProjektStart,DATE(FirstYear+7, 1, 1)))</f>
        <v>46753</v>
      </c>
      <c r="I243" s="277">
        <f>IF(ProjektSlut &lt;  DATE(FirstYear+7, 1, 1),  DATE(FirstYear+7, 12, 31), MIN(ProjektSlut,DATE(FirstYear+7, 12, 31)))</f>
        <v>47118</v>
      </c>
      <c r="M243" s="281" t="b">
        <v>0</v>
      </c>
      <c r="Q243" s="278"/>
    </row>
    <row r="244" spans="1:17" s="281" customFormat="1" x14ac:dyDescent="0.25">
      <c r="A244" s="281">
        <v>2</v>
      </c>
      <c r="B244" s="279" t="str">
        <f>IF('Institution Tables'!$Y$12="", "", ROUND('Institution Tables'!$Y$12,0))</f>
        <v/>
      </c>
      <c r="C244" s="281" t="s">
        <v>715</v>
      </c>
      <c r="D244" s="281" t="s">
        <v>196</v>
      </c>
      <c r="H244" s="277">
        <f>IF(ProjektStart &gt;  DATE(FirstYear+8, 12, 31),  DATE(FirstYear+8, 1, 1), MAX(ProjektStart,DATE(FirstYear+8, 1, 1)))</f>
        <v>47119</v>
      </c>
      <c r="I244" s="277">
        <f>IF(ProjektSlut &lt;  DATE(FirstYear+8, 1, 1),  DATE(FirstYear+8, 12, 31), MIN(ProjektSlut,DATE(FirstYear+8, 12, 31)))</f>
        <v>47483</v>
      </c>
      <c r="M244" s="281" t="b">
        <v>0</v>
      </c>
      <c r="Q244" s="278"/>
    </row>
    <row r="245" spans="1:17" x14ac:dyDescent="0.25">
      <c r="A245" s="278">
        <v>3</v>
      </c>
      <c r="B245" s="353" t="str">
        <f>IF('Institution Tables'!$C$26="", "", ROUND('Institution Tables'!$C$26,0))</f>
        <v/>
      </c>
      <c r="C245" s="281" t="s">
        <v>715</v>
      </c>
      <c r="D245" s="281" t="s">
        <v>196</v>
      </c>
      <c r="H245" s="277">
        <f>IF(ProjektStart &gt;  DATE(FirstYear, 12, 31),  DATE(FirstYear, 1, 1), MAX(ProjektStart,DATE(FirstYear, 1, 1)))</f>
        <v>44197</v>
      </c>
      <c r="I245" s="277">
        <f>IF(ProjektSlut &lt;  DATE(FirstYear, 1, 1),  DATE(FirstYear, 12, 31), MIN(ProjektSlut,DATE(FirstYear, 12, 31)))</f>
        <v>44561</v>
      </c>
      <c r="M245" s="281" t="b">
        <v>0</v>
      </c>
    </row>
    <row r="246" spans="1:17" x14ac:dyDescent="0.25">
      <c r="A246" s="278">
        <v>3</v>
      </c>
      <c r="B246" s="354" t="str">
        <f>IF('Institution Tables'!$D$26="", "", ROUND('Institution Tables'!$D$26,0))</f>
        <v/>
      </c>
      <c r="C246" s="281" t="s">
        <v>715</v>
      </c>
      <c r="D246" s="281" t="s">
        <v>196</v>
      </c>
      <c r="H246" s="277">
        <f>IF(ProjektStart &gt;  DATE(FirstYear+1, 12, 31),  DATE(FirstYear+1, 1, 1), MAX(ProjektStart,DATE(FirstYear+1, 1, 1)))</f>
        <v>44562</v>
      </c>
      <c r="I246" s="277">
        <f>IF(ProjektSlut &lt;  DATE(FirstYear+1, 1, 1),  DATE(FirstYear+1, 12, 31), MIN(ProjektSlut,DATE(FirstYear+1, 12, 31)))</f>
        <v>44926</v>
      </c>
      <c r="M246" s="281" t="b">
        <v>0</v>
      </c>
    </row>
    <row r="247" spans="1:17" x14ac:dyDescent="0.25">
      <c r="A247" s="278">
        <v>3</v>
      </c>
      <c r="B247" s="353" t="str">
        <f>IF('Institution Tables'!$E$26="", "", ROUND('Institution Tables'!$E$26,0))</f>
        <v/>
      </c>
      <c r="C247" s="281" t="s">
        <v>715</v>
      </c>
      <c r="D247" s="281" t="s">
        <v>196</v>
      </c>
      <c r="H247" s="277">
        <f>IF(ProjektStart &gt;  DATE(FirstYear+2, 12, 31),  DATE(FirstYear+2, 1, 1), MAX(ProjektStart,DATE(FirstYear+2, 1, 1)))</f>
        <v>44927</v>
      </c>
      <c r="I247" s="277">
        <f>IF(ProjektSlut &lt;  DATE(FirstYear+2, 1, 1),  DATE(FirstYear+2, 12, 31), MIN(ProjektSlut,DATE(FirstYear+2, 12, 31)))</f>
        <v>45291</v>
      </c>
      <c r="M247" s="281" t="b">
        <v>0</v>
      </c>
    </row>
    <row r="248" spans="1:17" x14ac:dyDescent="0.25">
      <c r="A248" s="278">
        <v>3</v>
      </c>
      <c r="B248" s="354" t="str">
        <f>IF('Institution Tables'!$F$26="", "", ROUND('Institution Tables'!$F$26,0))</f>
        <v/>
      </c>
      <c r="C248" s="281" t="s">
        <v>715</v>
      </c>
      <c r="D248" s="281" t="s">
        <v>196</v>
      </c>
      <c r="H248" s="277">
        <f>IF(ProjektStart &gt;  DATE(FirstYear+3, 12, 31),  DATE(FirstYear+3, 1, 1), MAX(ProjektStart,DATE(FirstYear+3, 1, 1)))</f>
        <v>45292</v>
      </c>
      <c r="I248" s="277">
        <f>IF(ProjektSlut &lt;  DATE(FirstYear+3, 1, 1),  DATE(FirstYear+3, 12, 31), MIN(ProjektSlut,DATE(FirstYear+3, 12, 31)))</f>
        <v>45657</v>
      </c>
      <c r="M248" s="281" t="b">
        <v>0</v>
      </c>
    </row>
    <row r="249" spans="1:17" x14ac:dyDescent="0.25">
      <c r="A249" s="278">
        <v>3</v>
      </c>
      <c r="B249" s="353" t="str">
        <f>IF('Institution Tables'!$G$26="", "", ROUND('Institution Tables'!$G$26,0))</f>
        <v/>
      </c>
      <c r="C249" s="281" t="s">
        <v>715</v>
      </c>
      <c r="D249" s="281" t="s">
        <v>196</v>
      </c>
      <c r="H249" s="277">
        <f>IF(ProjektStart &gt;  DATE(FirstYear+4, 12, 31),  DATE(FirstYear+4, 1, 1), MAX(ProjektStart,DATE(FirstYear+4, 1, 1)))</f>
        <v>45658</v>
      </c>
      <c r="I249" s="277">
        <f>IF(ProjektSlut &lt;  DATE(FirstYear+4, 1, 1),  DATE(FirstYear+4, 12, 31), MIN(ProjektSlut,DATE(FirstYear+4, 12, 31)))</f>
        <v>46022</v>
      </c>
      <c r="M249" s="281" t="b">
        <v>0</v>
      </c>
    </row>
    <row r="250" spans="1:17" s="281" customFormat="1" x14ac:dyDescent="0.25">
      <c r="A250" s="281">
        <v>3</v>
      </c>
      <c r="B250" s="354" t="str">
        <f>IF('Institution Tables'!$H$26="", "", ROUND('Institution Tables'!$H$26,0))</f>
        <v/>
      </c>
      <c r="C250" s="281" t="s">
        <v>715</v>
      </c>
      <c r="D250" s="281" t="s">
        <v>196</v>
      </c>
      <c r="H250" s="282">
        <f>IF(ProjektStart &gt;  DATE(FirstYear+5, 12, 31),  DATE(FirstYear+5, 1, 1), MAX(ProjektStart,DATE(FirstYear+5, 1, 1)))</f>
        <v>46023</v>
      </c>
      <c r="I250" s="282">
        <f>IF(ProjektSlut &lt;  DATE(FirstYear+5, 1, 1),  DATE(FirstYear+5, 12, 31), MIN(ProjektSlut,DATE(FirstYear+5, 12, 31)))</f>
        <v>46387</v>
      </c>
      <c r="M250" s="281" t="b">
        <v>0</v>
      </c>
      <c r="Q250" s="278"/>
    </row>
    <row r="251" spans="1:17" s="281" customFormat="1" x14ac:dyDescent="0.25">
      <c r="A251" s="281">
        <v>3</v>
      </c>
      <c r="B251" s="353" t="str">
        <f>IF('Institution Tables'!$I$26="", "", ROUND('Institution Tables'!$I$26,0))</f>
        <v/>
      </c>
      <c r="C251" s="281" t="s">
        <v>715</v>
      </c>
      <c r="D251" s="281" t="s">
        <v>196</v>
      </c>
      <c r="H251" s="277">
        <f>IF(ProjektStart &gt;  DATE(FirstYear+6, 12, 31),  DATE(FirstYear+6, 1, 1), MAX(ProjektStart,DATE(FirstYear+6, 1, 1)))</f>
        <v>46388</v>
      </c>
      <c r="I251" s="277">
        <f>IF(ProjektSlut &lt;  DATE(FirstYear+6, 1, 1),  DATE(FirstYear+6, 12, 31), MIN(ProjektSlut,DATE(FirstYear+6, 12, 31)))</f>
        <v>46752</v>
      </c>
      <c r="M251" s="281" t="b">
        <v>0</v>
      </c>
      <c r="Q251" s="278"/>
    </row>
    <row r="252" spans="1:17" s="281" customFormat="1" x14ac:dyDescent="0.25">
      <c r="A252" s="281">
        <v>3</v>
      </c>
      <c r="B252" s="353" t="str">
        <f>IF('Institution Tables'!$J$26="", "", ROUND('Institution Tables'!$J$26,0))</f>
        <v/>
      </c>
      <c r="C252" s="281" t="s">
        <v>715</v>
      </c>
      <c r="D252" s="281" t="s">
        <v>196</v>
      </c>
      <c r="H252" s="277">
        <f>IF(ProjektStart &gt;  DATE(FirstYear+7, 12, 31),  DATE(FirstYear+7, 1, 1), MAX(ProjektStart,DATE(FirstYear+7, 1, 1)))</f>
        <v>46753</v>
      </c>
      <c r="I252" s="277">
        <f>IF(ProjektSlut &lt;  DATE(FirstYear+7, 1, 1),  DATE(FirstYear+7, 12, 31), MIN(ProjektSlut,DATE(FirstYear+7, 12, 31)))</f>
        <v>47118</v>
      </c>
      <c r="M252" s="281" t="b">
        <v>0</v>
      </c>
      <c r="Q252" s="278"/>
    </row>
    <row r="253" spans="1:17" s="281" customFormat="1" x14ac:dyDescent="0.25">
      <c r="A253" s="281">
        <v>3</v>
      </c>
      <c r="B253" s="353" t="str">
        <f>IF('Institution Tables'!$K$26="", "", ROUND('Institution Tables'!$K$26,0))</f>
        <v/>
      </c>
      <c r="C253" s="281" t="s">
        <v>715</v>
      </c>
      <c r="D253" s="281" t="s">
        <v>196</v>
      </c>
      <c r="H253" s="277">
        <f>IF(ProjektStart &gt;  DATE(FirstYear+8, 12, 31),  DATE(FirstYear+8, 1, 1), MAX(ProjektStart,DATE(FirstYear+8, 1, 1)))</f>
        <v>47119</v>
      </c>
      <c r="I253" s="277">
        <f>IF(ProjektSlut &lt;  DATE(FirstYear+8, 1, 1),  DATE(FirstYear+8, 12, 31), MIN(ProjektSlut,DATE(FirstYear+8, 12, 31)))</f>
        <v>47483</v>
      </c>
      <c r="M253" s="281" t="b">
        <v>0</v>
      </c>
      <c r="Q253" s="278"/>
    </row>
    <row r="254" spans="1:17" x14ac:dyDescent="0.25">
      <c r="A254" s="278">
        <v>4</v>
      </c>
      <c r="B254" s="354" t="str">
        <f>IF('Institution Tables'!$Q$26="", "", ROUND('Institution Tables'!$Q$26,0))</f>
        <v/>
      </c>
      <c r="C254" s="281" t="s">
        <v>715</v>
      </c>
      <c r="D254" s="281" t="s">
        <v>196</v>
      </c>
      <c r="H254" s="277">
        <f>IF(ProjektStart &gt;  DATE(FirstYear, 12, 31),  DATE(FirstYear, 1, 1), MAX(ProjektStart,DATE(FirstYear, 1, 1)))</f>
        <v>44197</v>
      </c>
      <c r="I254" s="277">
        <f>IF(ProjektSlut &lt;  DATE(FirstYear, 1, 1),  DATE(FirstYear, 12, 31), MIN(ProjektSlut,DATE(FirstYear, 12, 31)))</f>
        <v>44561</v>
      </c>
      <c r="M254" s="281" t="b">
        <v>0</v>
      </c>
    </row>
    <row r="255" spans="1:17" x14ac:dyDescent="0.25">
      <c r="A255" s="278">
        <v>4</v>
      </c>
      <c r="B255" s="353" t="str">
        <f>IF('Institution Tables'!$R$26="", "", ROUND('Institution Tables'!$R$26,0))</f>
        <v/>
      </c>
      <c r="C255" s="281" t="s">
        <v>715</v>
      </c>
      <c r="D255" s="281" t="s">
        <v>196</v>
      </c>
      <c r="H255" s="277">
        <f>IF(ProjektStart &gt;  DATE(FirstYear+1, 12, 31),  DATE(FirstYear+1, 1, 1), MAX(ProjektStart,DATE(FirstYear+1, 1, 1)))</f>
        <v>44562</v>
      </c>
      <c r="I255" s="277">
        <f>IF(ProjektSlut &lt;  DATE(FirstYear+1, 1, 1),  DATE(FirstYear+1, 12, 31), MIN(ProjektSlut,DATE(FirstYear+1, 12, 31)))</f>
        <v>44926</v>
      </c>
      <c r="M255" s="281" t="b">
        <v>0</v>
      </c>
    </row>
    <row r="256" spans="1:17" x14ac:dyDescent="0.25">
      <c r="A256" s="278">
        <v>4</v>
      </c>
      <c r="B256" s="354" t="str">
        <f>IF('Institution Tables'!$S$26="", "", ROUND('Institution Tables'!$S$26,0))</f>
        <v/>
      </c>
      <c r="C256" s="281" t="s">
        <v>715</v>
      </c>
      <c r="D256" s="281" t="s">
        <v>196</v>
      </c>
      <c r="H256" s="277">
        <f>IF(ProjektStart &gt;  DATE(FirstYear+2, 12, 31),  DATE(FirstYear+2, 1, 1), MAX(ProjektStart,DATE(FirstYear+2, 1, 1)))</f>
        <v>44927</v>
      </c>
      <c r="I256" s="277">
        <f>IF(ProjektSlut &lt;  DATE(FirstYear+2, 1, 1),  DATE(FirstYear+2, 12, 31), MIN(ProjektSlut,DATE(FirstYear+2, 12, 31)))</f>
        <v>45291</v>
      </c>
      <c r="M256" s="281" t="b">
        <v>0</v>
      </c>
    </row>
    <row r="257" spans="1:17" x14ac:dyDescent="0.25">
      <c r="A257" s="278">
        <v>4</v>
      </c>
      <c r="B257" s="353" t="str">
        <f>IF('Institution Tables'!$T$26="", "", ROUND('Institution Tables'!$T$26,0))</f>
        <v/>
      </c>
      <c r="C257" s="281" t="s">
        <v>715</v>
      </c>
      <c r="D257" s="281" t="s">
        <v>196</v>
      </c>
      <c r="H257" s="277">
        <f>IF(ProjektStart &gt;  DATE(FirstYear+3, 12, 31),  DATE(FirstYear+3, 1, 1), MAX(ProjektStart,DATE(FirstYear+3, 1, 1)))</f>
        <v>45292</v>
      </c>
      <c r="I257" s="277">
        <f>IF(ProjektSlut &lt;  DATE(FirstYear+3, 1, 1),  DATE(FirstYear+3, 12, 31), MIN(ProjektSlut,DATE(FirstYear+3, 12, 31)))</f>
        <v>45657</v>
      </c>
      <c r="M257" s="281" t="b">
        <v>0</v>
      </c>
    </row>
    <row r="258" spans="1:17" x14ac:dyDescent="0.25">
      <c r="A258" s="278">
        <v>4</v>
      </c>
      <c r="B258" s="354" t="str">
        <f>IF('Institution Tables'!$U$26="", "", ROUND('Institution Tables'!$U$26,0))</f>
        <v/>
      </c>
      <c r="C258" s="281" t="s">
        <v>715</v>
      </c>
      <c r="D258" s="281" t="s">
        <v>196</v>
      </c>
      <c r="H258" s="277">
        <f>IF(ProjektStart &gt;  DATE(FirstYear+4, 12, 31),  DATE(FirstYear+4, 1, 1), MAX(ProjektStart,DATE(FirstYear+4, 1, 1)))</f>
        <v>45658</v>
      </c>
      <c r="I258" s="277">
        <f>IF(ProjektSlut &lt;  DATE(FirstYear+4, 1, 1),  DATE(FirstYear+4, 12, 31), MIN(ProjektSlut,DATE(FirstYear+4, 12, 31)))</f>
        <v>46022</v>
      </c>
      <c r="M258" s="281" t="b">
        <v>0</v>
      </c>
    </row>
    <row r="259" spans="1:17" s="281" customFormat="1" x14ac:dyDescent="0.25">
      <c r="A259" s="281">
        <v>4</v>
      </c>
      <c r="B259" s="353" t="str">
        <f>IF('Institution Tables'!$V$26="", "", ROUND('Institution Tables'!$V$26,0))</f>
        <v/>
      </c>
      <c r="C259" s="281" t="s">
        <v>715</v>
      </c>
      <c r="D259" s="281" t="s">
        <v>196</v>
      </c>
      <c r="H259" s="282">
        <f>IF(ProjektStart &gt;  DATE(FirstYear+5, 12, 31),  DATE(FirstYear+5, 1, 1), MAX(ProjektStart,DATE(FirstYear+5, 1, 1)))</f>
        <v>46023</v>
      </c>
      <c r="I259" s="282">
        <f>IF(ProjektSlut &lt;  DATE(FirstYear+5, 1, 1),  DATE(FirstYear+5, 12, 31), MIN(ProjektSlut,DATE(FirstYear+5, 12, 31)))</f>
        <v>46387</v>
      </c>
      <c r="M259" s="281" t="b">
        <v>0</v>
      </c>
      <c r="Q259" s="278"/>
    </row>
    <row r="260" spans="1:17" s="281" customFormat="1" x14ac:dyDescent="0.25">
      <c r="A260" s="281">
        <v>4</v>
      </c>
      <c r="B260" s="424" t="str">
        <f>IF('Institution Tables'!$W$26="", "", ROUND('Institution Tables'!$W$26,0))</f>
        <v/>
      </c>
      <c r="C260" s="281" t="s">
        <v>715</v>
      </c>
      <c r="D260" s="281" t="s">
        <v>196</v>
      </c>
      <c r="H260" s="277">
        <f>IF(ProjektStart &gt;  DATE(FirstYear+6, 12, 31),  DATE(FirstYear+6, 1, 1), MAX(ProjektStart,DATE(FirstYear+6, 1, 1)))</f>
        <v>46388</v>
      </c>
      <c r="I260" s="277">
        <f>IF(ProjektSlut &lt;  DATE(FirstYear+6, 1, 1),  DATE(FirstYear+6, 12, 31), MIN(ProjektSlut,DATE(FirstYear+6, 12, 31)))</f>
        <v>46752</v>
      </c>
      <c r="M260" s="281" t="b">
        <v>0</v>
      </c>
      <c r="Q260" s="278"/>
    </row>
    <row r="261" spans="1:17" s="281" customFormat="1" x14ac:dyDescent="0.25">
      <c r="A261" s="281">
        <v>4</v>
      </c>
      <c r="B261" s="424" t="str">
        <f>IF('Institution Tables'!$X$26="", "", ROUND('Institution Tables'!$X$26,0))</f>
        <v/>
      </c>
      <c r="C261" s="281" t="s">
        <v>715</v>
      </c>
      <c r="D261" s="281" t="s">
        <v>196</v>
      </c>
      <c r="H261" s="277">
        <f>IF(ProjektStart &gt;  DATE(FirstYear+7, 12, 31),  DATE(FirstYear+7, 1, 1), MAX(ProjektStart,DATE(FirstYear+7, 1, 1)))</f>
        <v>46753</v>
      </c>
      <c r="I261" s="277">
        <f>IF(ProjektSlut &lt;  DATE(FirstYear+7, 1, 1),  DATE(FirstYear+7, 12, 31), MIN(ProjektSlut,DATE(FirstYear+7, 12, 31)))</f>
        <v>47118</v>
      </c>
      <c r="M261" s="281" t="b">
        <v>0</v>
      </c>
      <c r="Q261" s="278"/>
    </row>
    <row r="262" spans="1:17" s="281" customFormat="1" x14ac:dyDescent="0.25">
      <c r="A262" s="281">
        <v>4</v>
      </c>
      <c r="B262" s="424" t="str">
        <f>IF('Institution Tables'!$Y$26="", "", ROUND('Institution Tables'!$Y$26,0))</f>
        <v/>
      </c>
      <c r="C262" s="281" t="s">
        <v>715</v>
      </c>
      <c r="D262" s="281" t="s">
        <v>196</v>
      </c>
      <c r="H262" s="277">
        <f>IF(ProjektStart &gt;  DATE(FirstYear+8, 12, 31),  DATE(FirstYear+8, 1, 1), MAX(ProjektStart,DATE(FirstYear+8, 1, 1)))</f>
        <v>47119</v>
      </c>
      <c r="I262" s="277">
        <f>IF(ProjektSlut &lt;  DATE(FirstYear+8, 1, 1),  DATE(FirstYear+8, 12, 31), MIN(ProjektSlut,DATE(FirstYear+8, 12, 31)))</f>
        <v>47483</v>
      </c>
      <c r="M262" s="281" t="b">
        <v>0</v>
      </c>
      <c r="Q262" s="278"/>
    </row>
    <row r="263" spans="1:17" x14ac:dyDescent="0.25">
      <c r="A263" s="278">
        <v>5</v>
      </c>
      <c r="B263" s="424" t="str">
        <f>IF('Institution Tables'!$C$40="", "", ROUND('Institution Tables'!$C$40,0))</f>
        <v/>
      </c>
      <c r="C263" s="281" t="s">
        <v>715</v>
      </c>
      <c r="D263" s="281" t="s">
        <v>196</v>
      </c>
      <c r="H263" s="277">
        <f>IF(ProjektStart &gt;  DATE(FirstYear, 12, 31),  DATE(FirstYear, 1, 1), MAX(ProjektStart,DATE(FirstYear, 1, 1)))</f>
        <v>44197</v>
      </c>
      <c r="I263" s="277">
        <f>IF(ProjektSlut &lt;  DATE(FirstYear, 1, 1),  DATE(FirstYear, 12, 31), MIN(ProjektSlut,DATE(FirstYear, 12, 31)))</f>
        <v>44561</v>
      </c>
      <c r="M263" s="281" t="b">
        <v>0</v>
      </c>
    </row>
    <row r="264" spans="1:17" x14ac:dyDescent="0.25">
      <c r="A264" s="278">
        <v>5</v>
      </c>
      <c r="B264" s="424" t="str">
        <f>IF('Institution Tables'!$D$40="", "", ROUND('Institution Tables'!$D$40,0))</f>
        <v/>
      </c>
      <c r="C264" s="281" t="s">
        <v>715</v>
      </c>
      <c r="D264" s="281" t="s">
        <v>196</v>
      </c>
      <c r="H264" s="277">
        <f>IF(ProjektStart &gt;  DATE(FirstYear+1, 12, 31),  DATE(FirstYear+1, 1, 1), MAX(ProjektStart,DATE(FirstYear+1, 1, 1)))</f>
        <v>44562</v>
      </c>
      <c r="I264" s="277">
        <f>IF(ProjektSlut &lt;  DATE(FirstYear+1, 1, 1),  DATE(FirstYear+1, 12, 31), MIN(ProjektSlut,DATE(FirstYear+1, 12, 31)))</f>
        <v>44926</v>
      </c>
      <c r="M264" s="281" t="b">
        <v>0</v>
      </c>
    </row>
    <row r="265" spans="1:17" x14ac:dyDescent="0.25">
      <c r="A265" s="278">
        <v>5</v>
      </c>
      <c r="B265" s="424" t="str">
        <f>IF('Institution Tables'!$E$40="", "", ROUND('Institution Tables'!$E$40,0))</f>
        <v/>
      </c>
      <c r="C265" s="281" t="s">
        <v>715</v>
      </c>
      <c r="D265" s="281" t="s">
        <v>196</v>
      </c>
      <c r="H265" s="277">
        <f>IF(ProjektStart &gt;  DATE(FirstYear+2, 12, 31),  DATE(FirstYear+2, 1, 1), MAX(ProjektStart,DATE(FirstYear+2, 1, 1)))</f>
        <v>44927</v>
      </c>
      <c r="I265" s="277">
        <f>IF(ProjektSlut &lt;  DATE(FirstYear+2, 1, 1),  DATE(FirstYear+2, 12, 31), MIN(ProjektSlut,DATE(FirstYear+2, 12, 31)))</f>
        <v>45291</v>
      </c>
      <c r="M265" s="281" t="b">
        <v>0</v>
      </c>
    </row>
    <row r="266" spans="1:17" x14ac:dyDescent="0.25">
      <c r="A266" s="278">
        <v>5</v>
      </c>
      <c r="B266" s="424" t="str">
        <f>IF('Institution Tables'!$F$40="", "", ROUND('Institution Tables'!$F$40,0))</f>
        <v/>
      </c>
      <c r="C266" s="281" t="s">
        <v>715</v>
      </c>
      <c r="D266" s="281" t="s">
        <v>196</v>
      </c>
      <c r="H266" s="277">
        <f>IF(ProjektStart &gt;  DATE(FirstYear+3, 12, 31),  DATE(FirstYear+3, 1, 1), MAX(ProjektStart,DATE(FirstYear+3, 1, 1)))</f>
        <v>45292</v>
      </c>
      <c r="I266" s="277">
        <f>IF(ProjektSlut &lt;  DATE(FirstYear+3, 1, 1),  DATE(FirstYear+3, 12, 31), MIN(ProjektSlut,DATE(FirstYear+3, 12, 31)))</f>
        <v>45657</v>
      </c>
      <c r="M266" s="281" t="b">
        <v>0</v>
      </c>
    </row>
    <row r="267" spans="1:17" x14ac:dyDescent="0.25">
      <c r="A267" s="278">
        <v>5</v>
      </c>
      <c r="B267" s="424" t="str">
        <f>IF('Institution Tables'!$G$40="", "", ROUND('Institution Tables'!$G$40,0))</f>
        <v/>
      </c>
      <c r="C267" s="281" t="s">
        <v>715</v>
      </c>
      <c r="D267" s="281" t="s">
        <v>196</v>
      </c>
      <c r="H267" s="277">
        <f>IF(ProjektStart &gt;  DATE(FirstYear+4, 12, 31),  DATE(FirstYear+4, 1, 1), MAX(ProjektStart,DATE(FirstYear+4, 1, 1)))</f>
        <v>45658</v>
      </c>
      <c r="I267" s="277">
        <f>IF(ProjektSlut &lt;  DATE(FirstYear+4, 1, 1),  DATE(FirstYear+4, 12, 31), MIN(ProjektSlut,DATE(FirstYear+4, 12, 31)))</f>
        <v>46022</v>
      </c>
      <c r="M267" s="281" t="b">
        <v>0</v>
      </c>
    </row>
    <row r="268" spans="1:17" s="281" customFormat="1" x14ac:dyDescent="0.25">
      <c r="A268" s="281">
        <v>5</v>
      </c>
      <c r="B268" s="424" t="str">
        <f>IF('Institution Tables'!$H$40="", "", ROUND('Institution Tables'!$H$40,0))</f>
        <v/>
      </c>
      <c r="C268" s="281" t="s">
        <v>715</v>
      </c>
      <c r="D268" s="281" t="s">
        <v>196</v>
      </c>
      <c r="H268" s="282">
        <f>IF(ProjektStart &gt;  DATE(FirstYear+5, 12, 31),  DATE(FirstYear+5, 1, 1), MAX(ProjektStart,DATE(FirstYear+5, 1, 1)))</f>
        <v>46023</v>
      </c>
      <c r="I268" s="282">
        <f>IF(ProjektSlut &lt;  DATE(FirstYear+5, 1, 1),  DATE(FirstYear+5, 12, 31), MIN(ProjektSlut,DATE(FirstYear+5, 12, 31)))</f>
        <v>46387</v>
      </c>
      <c r="M268" s="281" t="b">
        <v>0</v>
      </c>
      <c r="Q268" s="278"/>
    </row>
    <row r="269" spans="1:17" s="281" customFormat="1" x14ac:dyDescent="0.25">
      <c r="A269" s="281">
        <v>5</v>
      </c>
      <c r="B269" s="424" t="str">
        <f>IF('Institution Tables'!$I$40="", "", ROUND('Institution Tables'!$I$40,0))</f>
        <v/>
      </c>
      <c r="C269" s="281" t="s">
        <v>715</v>
      </c>
      <c r="D269" s="281" t="s">
        <v>196</v>
      </c>
      <c r="H269" s="277">
        <f>IF(ProjektStart &gt;  DATE(FirstYear+6, 12, 31),  DATE(FirstYear+6, 1, 1), MAX(ProjektStart,DATE(FirstYear+6, 1, 1)))</f>
        <v>46388</v>
      </c>
      <c r="I269" s="277">
        <f>IF(ProjektSlut &lt;  DATE(FirstYear+6, 1, 1),  DATE(FirstYear+6, 12, 31), MIN(ProjektSlut,DATE(FirstYear+6, 12, 31)))</f>
        <v>46752</v>
      </c>
      <c r="M269" s="281" t="b">
        <v>0</v>
      </c>
      <c r="Q269" s="278"/>
    </row>
    <row r="270" spans="1:17" s="281" customFormat="1" x14ac:dyDescent="0.25">
      <c r="A270" s="281">
        <v>5</v>
      </c>
      <c r="B270" s="424" t="str">
        <f>IF('Institution Tables'!$J$40="", "", ROUND('Institution Tables'!$J$40,0))</f>
        <v/>
      </c>
      <c r="C270" s="281" t="s">
        <v>715</v>
      </c>
      <c r="D270" s="281" t="s">
        <v>196</v>
      </c>
      <c r="H270" s="277">
        <f>IF(ProjektStart &gt;  DATE(FirstYear+7, 12, 31),  DATE(FirstYear+7, 1, 1), MAX(ProjektStart,DATE(FirstYear+7, 1, 1)))</f>
        <v>46753</v>
      </c>
      <c r="I270" s="277">
        <f>IF(ProjektSlut &lt;  DATE(FirstYear+7, 1, 1),  DATE(FirstYear+7, 12, 31), MIN(ProjektSlut,DATE(FirstYear+7, 12, 31)))</f>
        <v>47118</v>
      </c>
      <c r="M270" s="281" t="b">
        <v>0</v>
      </c>
      <c r="Q270" s="278"/>
    </row>
    <row r="271" spans="1:17" s="281" customFormat="1" x14ac:dyDescent="0.25">
      <c r="A271" s="281">
        <v>5</v>
      </c>
      <c r="B271" s="424" t="str">
        <f>IF('Institution Tables'!$K$40="", "", ROUND('Institution Tables'!$K$40,0))</f>
        <v/>
      </c>
      <c r="C271" s="281" t="s">
        <v>715</v>
      </c>
      <c r="D271" s="281" t="s">
        <v>196</v>
      </c>
      <c r="H271" s="277">
        <f>IF(ProjektStart &gt;  DATE(FirstYear+8, 12, 31),  DATE(FirstYear+8, 1, 1), MAX(ProjektStart,DATE(FirstYear+8, 1, 1)))</f>
        <v>47119</v>
      </c>
      <c r="I271" s="277">
        <f>IF(ProjektSlut &lt;  DATE(FirstYear+8, 1, 1),  DATE(FirstYear+8, 12, 31), MIN(ProjektSlut,DATE(FirstYear+8, 12, 31)))</f>
        <v>47483</v>
      </c>
      <c r="M271" s="281" t="b">
        <v>0</v>
      </c>
      <c r="Q271" s="278"/>
    </row>
    <row r="272" spans="1:17" x14ac:dyDescent="0.25">
      <c r="A272" s="278">
        <v>6</v>
      </c>
      <c r="B272" s="424" t="str">
        <f>IF('Institution Tables'!$Q$40="", "", ROUND('Institution Tables'!$Q$40,0))</f>
        <v/>
      </c>
      <c r="C272" s="281" t="s">
        <v>715</v>
      </c>
      <c r="D272" s="281" t="s">
        <v>196</v>
      </c>
      <c r="H272" s="277">
        <f>IF(ProjektStart &gt;  DATE(FirstYear, 12, 31),  DATE(FirstYear, 1, 1), MAX(ProjektStart,DATE(FirstYear, 1, 1)))</f>
        <v>44197</v>
      </c>
      <c r="I272" s="277">
        <f>IF(ProjektSlut &lt;  DATE(FirstYear, 1, 1),  DATE(FirstYear, 12, 31), MIN(ProjektSlut,DATE(FirstYear, 12, 31)))</f>
        <v>44561</v>
      </c>
      <c r="M272" s="281" t="b">
        <v>0</v>
      </c>
    </row>
    <row r="273" spans="1:17" x14ac:dyDescent="0.25">
      <c r="A273" s="278">
        <v>6</v>
      </c>
      <c r="B273" s="424" t="str">
        <f>IF('Institution Tables'!$R$40="", "", ROUND('Institution Tables'!$R$40,0))</f>
        <v/>
      </c>
      <c r="C273" s="281" t="s">
        <v>715</v>
      </c>
      <c r="D273" s="281" t="s">
        <v>196</v>
      </c>
      <c r="H273" s="277">
        <f>IF(ProjektStart &gt;  DATE(FirstYear+1, 12, 31),  DATE(FirstYear+1, 1, 1), MAX(ProjektStart,DATE(FirstYear+1, 1, 1)))</f>
        <v>44562</v>
      </c>
      <c r="I273" s="277">
        <f>IF(ProjektSlut &lt;  DATE(FirstYear+1, 1, 1),  DATE(FirstYear+1, 12, 31), MIN(ProjektSlut,DATE(FirstYear+1, 12, 31)))</f>
        <v>44926</v>
      </c>
      <c r="M273" s="281" t="b">
        <v>0</v>
      </c>
    </row>
    <row r="274" spans="1:17" x14ac:dyDescent="0.25">
      <c r="A274" s="278">
        <v>6</v>
      </c>
      <c r="B274" s="424" t="str">
        <f>IF('Institution Tables'!$S$40="", "", ROUND('Institution Tables'!$S$40,0))</f>
        <v/>
      </c>
      <c r="C274" s="281" t="s">
        <v>715</v>
      </c>
      <c r="D274" s="281" t="s">
        <v>196</v>
      </c>
      <c r="H274" s="277">
        <f>IF(ProjektStart &gt;  DATE(FirstYear+2, 12, 31),  DATE(FirstYear+2, 1, 1), MAX(ProjektStart,DATE(FirstYear+2, 1, 1)))</f>
        <v>44927</v>
      </c>
      <c r="I274" s="277">
        <f>IF(ProjektSlut &lt;  DATE(FirstYear+2, 1, 1),  DATE(FirstYear+2, 12, 31), MIN(ProjektSlut,DATE(FirstYear+2, 12, 31)))</f>
        <v>45291</v>
      </c>
      <c r="M274" s="281" t="b">
        <v>0</v>
      </c>
    </row>
    <row r="275" spans="1:17" x14ac:dyDescent="0.25">
      <c r="A275" s="278">
        <v>6</v>
      </c>
      <c r="B275" s="424" t="str">
        <f>IF('Institution Tables'!$T$40="", "", ROUND('Institution Tables'!$T$40,0))</f>
        <v/>
      </c>
      <c r="C275" s="281" t="s">
        <v>715</v>
      </c>
      <c r="D275" s="281" t="s">
        <v>196</v>
      </c>
      <c r="H275" s="277">
        <f>IF(ProjektStart &gt;  DATE(FirstYear+3, 12, 31),  DATE(FirstYear+3, 1, 1), MAX(ProjektStart,DATE(FirstYear+3, 1, 1)))</f>
        <v>45292</v>
      </c>
      <c r="I275" s="277">
        <f>IF(ProjektSlut &lt;  DATE(FirstYear+3, 1, 1),  DATE(FirstYear+3, 12, 31), MIN(ProjektSlut,DATE(FirstYear+3, 12, 31)))</f>
        <v>45657</v>
      </c>
      <c r="M275" s="281" t="b">
        <v>0</v>
      </c>
    </row>
    <row r="276" spans="1:17" x14ac:dyDescent="0.25">
      <c r="A276" s="278">
        <v>6</v>
      </c>
      <c r="B276" s="424" t="str">
        <f>IF('Institution Tables'!$U$40="", "", ROUND('Institution Tables'!$U$40,0))</f>
        <v/>
      </c>
      <c r="C276" s="281" t="s">
        <v>715</v>
      </c>
      <c r="D276" s="281" t="s">
        <v>196</v>
      </c>
      <c r="H276" s="277">
        <f>IF(ProjektStart &gt;  DATE(FirstYear+4, 12, 31),  DATE(FirstYear+4, 1, 1), MAX(ProjektStart,DATE(FirstYear+4, 1, 1)))</f>
        <v>45658</v>
      </c>
      <c r="I276" s="277">
        <f>IF(ProjektSlut &lt;  DATE(FirstYear+4, 1, 1),  DATE(FirstYear+4, 12, 31), MIN(ProjektSlut,DATE(FirstYear+4, 12, 31)))</f>
        <v>46022</v>
      </c>
      <c r="M276" s="281" t="b">
        <v>0</v>
      </c>
    </row>
    <row r="277" spans="1:17" s="281" customFormat="1" x14ac:dyDescent="0.25">
      <c r="A277" s="281">
        <v>6</v>
      </c>
      <c r="B277" s="424" t="str">
        <f>IF('Institution Tables'!$V$40="", "", ROUND('Institution Tables'!$V$40,0))</f>
        <v/>
      </c>
      <c r="C277" s="281" t="s">
        <v>715</v>
      </c>
      <c r="D277" s="281" t="s">
        <v>196</v>
      </c>
      <c r="H277" s="282">
        <f>IF(ProjektStart &gt;  DATE(FirstYear+5, 12, 31),  DATE(FirstYear+5, 1, 1), MAX(ProjektStart,DATE(FirstYear+5, 1, 1)))</f>
        <v>46023</v>
      </c>
      <c r="I277" s="282">
        <f>IF(ProjektSlut &lt;  DATE(FirstYear+5, 1, 1),  DATE(FirstYear+5, 12, 31), MIN(ProjektSlut,DATE(FirstYear+5, 12, 31)))</f>
        <v>46387</v>
      </c>
      <c r="M277" s="281" t="b">
        <v>0</v>
      </c>
      <c r="Q277" s="278"/>
    </row>
    <row r="278" spans="1:17" s="281" customFormat="1" x14ac:dyDescent="0.25">
      <c r="A278" s="281">
        <v>6</v>
      </c>
      <c r="B278" s="424" t="str">
        <f>IF('Institution Tables'!$W$40="", "", ROUND('Institution Tables'!$W$40,0))</f>
        <v/>
      </c>
      <c r="C278" s="281" t="s">
        <v>715</v>
      </c>
      <c r="D278" s="281" t="s">
        <v>196</v>
      </c>
      <c r="H278" s="277">
        <f>IF(ProjektStart &gt;  DATE(FirstYear+6, 12, 31),  DATE(FirstYear+6, 1, 1), MAX(ProjektStart,DATE(FirstYear+6, 1, 1)))</f>
        <v>46388</v>
      </c>
      <c r="I278" s="277">
        <f>IF(ProjektSlut &lt;  DATE(FirstYear+6, 1, 1),  DATE(FirstYear+6, 12, 31), MIN(ProjektSlut,DATE(FirstYear+6, 12, 31)))</f>
        <v>46752</v>
      </c>
      <c r="M278" s="281" t="b">
        <v>0</v>
      </c>
      <c r="Q278" s="278"/>
    </row>
    <row r="279" spans="1:17" s="281" customFormat="1" x14ac:dyDescent="0.25">
      <c r="A279" s="281">
        <v>6</v>
      </c>
      <c r="B279" s="424" t="str">
        <f>IF('Institution Tables'!$X$40="", "", ROUND('Institution Tables'!$X$40,0))</f>
        <v/>
      </c>
      <c r="C279" s="281" t="s">
        <v>715</v>
      </c>
      <c r="D279" s="281" t="s">
        <v>196</v>
      </c>
      <c r="H279" s="277">
        <f>IF(ProjektStart &gt;  DATE(FirstYear+7, 12, 31),  DATE(FirstYear+7, 1, 1), MAX(ProjektStart,DATE(FirstYear+7, 1, 1)))</f>
        <v>46753</v>
      </c>
      <c r="I279" s="277">
        <f>IF(ProjektSlut &lt;  DATE(FirstYear+7, 1, 1),  DATE(FirstYear+7, 12, 31), MIN(ProjektSlut,DATE(FirstYear+7, 12, 31)))</f>
        <v>47118</v>
      </c>
      <c r="M279" s="281" t="b">
        <v>0</v>
      </c>
      <c r="Q279" s="278"/>
    </row>
    <row r="280" spans="1:17" s="281" customFormat="1" x14ac:dyDescent="0.25">
      <c r="A280" s="281">
        <v>6</v>
      </c>
      <c r="B280" s="424" t="str">
        <f>IF('Institution Tables'!$Y$40="", "", ROUND('Institution Tables'!$Y$40,0))</f>
        <v/>
      </c>
      <c r="C280" s="281" t="s">
        <v>715</v>
      </c>
      <c r="D280" s="281" t="s">
        <v>196</v>
      </c>
      <c r="H280" s="277">
        <f>IF(ProjektStart &gt;  DATE(FirstYear+8, 12, 31),  DATE(FirstYear+8, 1, 1), MAX(ProjektStart,DATE(FirstYear+8, 1, 1)))</f>
        <v>47119</v>
      </c>
      <c r="I280" s="277">
        <f>IF(ProjektSlut &lt;  DATE(FirstYear+8, 1, 1),  DATE(FirstYear+8, 12, 31), MIN(ProjektSlut,DATE(FirstYear+8, 12, 31)))</f>
        <v>47483</v>
      </c>
      <c r="M280" s="281" t="b">
        <v>0</v>
      </c>
      <c r="Q280" s="278"/>
    </row>
    <row r="281" spans="1:17" x14ac:dyDescent="0.25">
      <c r="A281" s="278">
        <v>7</v>
      </c>
      <c r="B281" s="424" t="str">
        <f>IF('Institution Tables'!$C$54="", "", ROUND('Institution Tables'!$C$54,0))</f>
        <v/>
      </c>
      <c r="C281" s="281" t="s">
        <v>715</v>
      </c>
      <c r="D281" s="281" t="s">
        <v>196</v>
      </c>
      <c r="H281" s="277">
        <f>IF(ProjektStart &gt;  DATE(FirstYear, 12, 31),  DATE(FirstYear, 1, 1), MAX(ProjektStart,DATE(FirstYear, 1, 1)))</f>
        <v>44197</v>
      </c>
      <c r="I281" s="277">
        <f>IF(ProjektSlut &lt;  DATE(FirstYear, 1, 1),  DATE(FirstYear, 12, 31), MIN(ProjektSlut,DATE(FirstYear, 12, 31)))</f>
        <v>44561</v>
      </c>
      <c r="M281" s="281" t="b">
        <v>0</v>
      </c>
    </row>
    <row r="282" spans="1:17" x14ac:dyDescent="0.25">
      <c r="A282" s="278">
        <v>7</v>
      </c>
      <c r="B282" s="424" t="str">
        <f>IF('Institution Tables'!$D$54="", "", ROUND('Institution Tables'!$D$54,0))</f>
        <v/>
      </c>
      <c r="C282" s="281" t="s">
        <v>715</v>
      </c>
      <c r="D282" s="281" t="s">
        <v>196</v>
      </c>
      <c r="H282" s="277">
        <f>IF(ProjektStart &gt;  DATE(FirstYear+1, 12, 31),  DATE(FirstYear+1, 1, 1), MAX(ProjektStart,DATE(FirstYear+1, 1, 1)))</f>
        <v>44562</v>
      </c>
      <c r="I282" s="277">
        <f>IF(ProjektSlut &lt;  DATE(FirstYear+1, 1, 1),  DATE(FirstYear+1, 12, 31), MIN(ProjektSlut,DATE(FirstYear+1, 12, 31)))</f>
        <v>44926</v>
      </c>
      <c r="M282" s="281" t="b">
        <v>0</v>
      </c>
    </row>
    <row r="283" spans="1:17" x14ac:dyDescent="0.25">
      <c r="A283" s="278">
        <v>7</v>
      </c>
      <c r="B283" s="424" t="str">
        <f>IF('Institution Tables'!$E$54="", "", ROUND('Institution Tables'!$E$54,0))</f>
        <v/>
      </c>
      <c r="C283" s="281" t="s">
        <v>715</v>
      </c>
      <c r="D283" s="281" t="s">
        <v>196</v>
      </c>
      <c r="H283" s="277">
        <f>IF(ProjektStart &gt;  DATE(FirstYear+2, 12, 31),  DATE(FirstYear+2, 1, 1), MAX(ProjektStart,DATE(FirstYear+2, 1, 1)))</f>
        <v>44927</v>
      </c>
      <c r="I283" s="277">
        <f>IF(ProjektSlut &lt;  DATE(FirstYear+2, 1, 1),  DATE(FirstYear+2, 12, 31), MIN(ProjektSlut,DATE(FirstYear+2, 12, 31)))</f>
        <v>45291</v>
      </c>
      <c r="M283" s="281" t="b">
        <v>0</v>
      </c>
    </row>
    <row r="284" spans="1:17" x14ac:dyDescent="0.25">
      <c r="A284" s="278">
        <v>7</v>
      </c>
      <c r="B284" s="424" t="str">
        <f>IF('Institution Tables'!$F$54="", "", ROUND('Institution Tables'!$F$54,0))</f>
        <v/>
      </c>
      <c r="C284" s="281" t="s">
        <v>715</v>
      </c>
      <c r="D284" s="281" t="s">
        <v>196</v>
      </c>
      <c r="H284" s="277">
        <f>IF(ProjektStart &gt;  DATE(FirstYear+3, 12, 31),  DATE(FirstYear+3, 1, 1), MAX(ProjektStart,DATE(FirstYear+3, 1, 1)))</f>
        <v>45292</v>
      </c>
      <c r="I284" s="277">
        <f>IF(ProjektSlut &lt;  DATE(FirstYear+3, 1, 1),  DATE(FirstYear+3, 12, 31), MIN(ProjektSlut,DATE(FirstYear+3, 12, 31)))</f>
        <v>45657</v>
      </c>
      <c r="M284" s="281" t="b">
        <v>0</v>
      </c>
    </row>
    <row r="285" spans="1:17" x14ac:dyDescent="0.25">
      <c r="A285" s="278">
        <v>7</v>
      </c>
      <c r="B285" s="424" t="str">
        <f>IF('Institution Tables'!$G$54="", "", ROUND('Institution Tables'!$G$54,0))</f>
        <v/>
      </c>
      <c r="C285" s="281" t="s">
        <v>715</v>
      </c>
      <c r="D285" s="281" t="s">
        <v>196</v>
      </c>
      <c r="H285" s="277">
        <f>IF(ProjektStart &gt;  DATE(FirstYear+4, 12, 31),  DATE(FirstYear+4, 1, 1), MAX(ProjektStart,DATE(FirstYear+4, 1, 1)))</f>
        <v>45658</v>
      </c>
      <c r="I285" s="277">
        <f>IF(ProjektSlut &lt;  DATE(FirstYear+4, 1, 1),  DATE(FirstYear+4, 12, 31), MIN(ProjektSlut,DATE(FirstYear+4, 12, 31)))</f>
        <v>46022</v>
      </c>
      <c r="M285" s="281" t="b">
        <v>0</v>
      </c>
    </row>
    <row r="286" spans="1:17" s="281" customFormat="1" x14ac:dyDescent="0.25">
      <c r="A286" s="281">
        <v>7</v>
      </c>
      <c r="B286" s="424" t="str">
        <f>IF('Institution Tables'!$H$54="", "", ROUND('Institution Tables'!$H$54,0))</f>
        <v/>
      </c>
      <c r="C286" s="281" t="s">
        <v>715</v>
      </c>
      <c r="D286" s="281" t="s">
        <v>196</v>
      </c>
      <c r="H286" s="282">
        <f>IF(ProjektStart &gt;  DATE(FirstYear+5, 12, 31),  DATE(FirstYear+5, 1, 1), MAX(ProjektStart,DATE(FirstYear+5, 1, 1)))</f>
        <v>46023</v>
      </c>
      <c r="I286" s="282">
        <f>IF(ProjektSlut &lt;  DATE(FirstYear+5, 1, 1),  DATE(FirstYear+5, 12, 31), MIN(ProjektSlut,DATE(FirstYear+5, 12, 31)))</f>
        <v>46387</v>
      </c>
      <c r="M286" s="281" t="b">
        <v>0</v>
      </c>
      <c r="Q286" s="278"/>
    </row>
    <row r="287" spans="1:17" s="281" customFormat="1" x14ac:dyDescent="0.25">
      <c r="A287" s="281">
        <v>7</v>
      </c>
      <c r="B287" s="424" t="str">
        <f>IF('Institution Tables'!$I$54="", "", ROUND('Institution Tables'!$I$54,0))</f>
        <v/>
      </c>
      <c r="C287" s="281" t="s">
        <v>715</v>
      </c>
      <c r="D287" s="281" t="s">
        <v>196</v>
      </c>
      <c r="H287" s="277">
        <f>IF(ProjektStart &gt;  DATE(FirstYear+6, 12, 31),  DATE(FirstYear+6, 1, 1), MAX(ProjektStart,DATE(FirstYear+6, 1, 1)))</f>
        <v>46388</v>
      </c>
      <c r="I287" s="277">
        <f>IF(ProjektSlut &lt;  DATE(FirstYear+6, 1, 1),  DATE(FirstYear+6, 12, 31), MIN(ProjektSlut,DATE(FirstYear+6, 12, 31)))</f>
        <v>46752</v>
      </c>
      <c r="M287" s="281" t="b">
        <v>0</v>
      </c>
      <c r="Q287" s="278"/>
    </row>
    <row r="288" spans="1:17" s="281" customFormat="1" x14ac:dyDescent="0.25">
      <c r="A288" s="281">
        <v>7</v>
      </c>
      <c r="B288" s="424" t="str">
        <f>IF('Institution Tables'!$J$54="", "", ROUND('Institution Tables'!$J$54,0))</f>
        <v/>
      </c>
      <c r="C288" s="281" t="s">
        <v>715</v>
      </c>
      <c r="D288" s="281" t="s">
        <v>196</v>
      </c>
      <c r="H288" s="277">
        <f>IF(ProjektStart &gt;  DATE(FirstYear+7, 12, 31),  DATE(FirstYear+7, 1, 1), MAX(ProjektStart,DATE(FirstYear+7, 1, 1)))</f>
        <v>46753</v>
      </c>
      <c r="I288" s="277">
        <f>IF(ProjektSlut &lt;  DATE(FirstYear+7, 1, 1),  DATE(FirstYear+7, 12, 31), MIN(ProjektSlut,DATE(FirstYear+7, 12, 31)))</f>
        <v>47118</v>
      </c>
      <c r="M288" s="281" t="b">
        <v>0</v>
      </c>
      <c r="Q288" s="278"/>
    </row>
    <row r="289" spans="1:17" s="281" customFormat="1" x14ac:dyDescent="0.25">
      <c r="A289" s="281">
        <v>7</v>
      </c>
      <c r="B289" s="424" t="str">
        <f>IF('Institution Tables'!$K$54="", "", ROUND('Institution Tables'!$K$54,0))</f>
        <v/>
      </c>
      <c r="C289" s="281" t="s">
        <v>715</v>
      </c>
      <c r="D289" s="281" t="s">
        <v>196</v>
      </c>
      <c r="H289" s="277">
        <f>IF(ProjektStart &gt;  DATE(FirstYear+8, 12, 31),  DATE(FirstYear+8, 1, 1), MAX(ProjektStart,DATE(FirstYear+8, 1, 1)))</f>
        <v>47119</v>
      </c>
      <c r="I289" s="277">
        <f>IF(ProjektSlut &lt;  DATE(FirstYear+8, 1, 1),  DATE(FirstYear+8, 12, 31), MIN(ProjektSlut,DATE(FirstYear+8, 12, 31)))</f>
        <v>47483</v>
      </c>
      <c r="M289" s="281" t="b">
        <v>0</v>
      </c>
      <c r="Q289" s="278"/>
    </row>
    <row r="290" spans="1:17" x14ac:dyDescent="0.25">
      <c r="A290" s="278">
        <v>8</v>
      </c>
      <c r="B290" s="424" t="str">
        <f>IF('Institution Tables'!$Q$54="", "", ROUND('Institution Tables'!$Q$54,0))</f>
        <v/>
      </c>
      <c r="C290" s="281" t="s">
        <v>715</v>
      </c>
      <c r="D290" s="281" t="s">
        <v>196</v>
      </c>
      <c r="H290" s="277">
        <f>IF(ProjektStart &gt;  DATE(FirstYear, 12, 31),  DATE(FirstYear, 1, 1), MAX(ProjektStart,DATE(FirstYear, 1, 1)))</f>
        <v>44197</v>
      </c>
      <c r="I290" s="277">
        <f>IF(ProjektSlut &lt;  DATE(FirstYear, 1, 1),  DATE(FirstYear, 12, 31), MIN(ProjektSlut,DATE(FirstYear, 12, 31)))</f>
        <v>44561</v>
      </c>
      <c r="M290" s="281" t="b">
        <v>0</v>
      </c>
    </row>
    <row r="291" spans="1:17" x14ac:dyDescent="0.25">
      <c r="A291" s="278">
        <v>8</v>
      </c>
      <c r="B291" s="424" t="str">
        <f>IF('Institution Tables'!$R$54="", "", ROUND('Institution Tables'!$R$54,0))</f>
        <v/>
      </c>
      <c r="C291" s="281" t="s">
        <v>715</v>
      </c>
      <c r="D291" s="281" t="s">
        <v>196</v>
      </c>
      <c r="H291" s="277">
        <f>IF(ProjektStart &gt;  DATE(FirstYear+1, 12, 31),  DATE(FirstYear+1, 1, 1), MAX(ProjektStart,DATE(FirstYear+1, 1, 1)))</f>
        <v>44562</v>
      </c>
      <c r="I291" s="277">
        <f>IF(ProjektSlut &lt;  DATE(FirstYear+1, 1, 1),  DATE(FirstYear+1, 12, 31), MIN(ProjektSlut,DATE(FirstYear+1, 12, 31)))</f>
        <v>44926</v>
      </c>
      <c r="M291" s="281" t="b">
        <v>0</v>
      </c>
    </row>
    <row r="292" spans="1:17" x14ac:dyDescent="0.25">
      <c r="A292" s="278">
        <v>8</v>
      </c>
      <c r="B292" s="424" t="str">
        <f>IF('Institution Tables'!$S$54="", "", ROUND('Institution Tables'!$S$54,0))</f>
        <v/>
      </c>
      <c r="C292" s="281" t="s">
        <v>715</v>
      </c>
      <c r="D292" s="281" t="s">
        <v>196</v>
      </c>
      <c r="H292" s="277">
        <f>IF(ProjektStart &gt;  DATE(FirstYear+2, 12, 31),  DATE(FirstYear+2, 1, 1), MAX(ProjektStart,DATE(FirstYear+2, 1, 1)))</f>
        <v>44927</v>
      </c>
      <c r="I292" s="277">
        <f>IF(ProjektSlut &lt;  DATE(FirstYear+2, 1, 1),  DATE(FirstYear+2, 12, 31), MIN(ProjektSlut,DATE(FirstYear+2, 12, 31)))</f>
        <v>45291</v>
      </c>
      <c r="M292" s="281" t="b">
        <v>0</v>
      </c>
    </row>
    <row r="293" spans="1:17" x14ac:dyDescent="0.25">
      <c r="A293" s="278">
        <v>8</v>
      </c>
      <c r="B293" s="424" t="str">
        <f>IF('Institution Tables'!$T$54="", "", ROUND('Institution Tables'!$T$54,0))</f>
        <v/>
      </c>
      <c r="C293" s="281" t="s">
        <v>715</v>
      </c>
      <c r="D293" s="281" t="s">
        <v>196</v>
      </c>
      <c r="H293" s="277">
        <f>IF(ProjektStart &gt;  DATE(FirstYear+3, 12, 31),  DATE(FirstYear+3, 1, 1), MAX(ProjektStart,DATE(FirstYear+3, 1, 1)))</f>
        <v>45292</v>
      </c>
      <c r="I293" s="277">
        <f>IF(ProjektSlut &lt;  DATE(FirstYear+3, 1, 1),  DATE(FirstYear+3, 12, 31), MIN(ProjektSlut,DATE(FirstYear+3, 12, 31)))</f>
        <v>45657</v>
      </c>
      <c r="M293" s="281" t="b">
        <v>0</v>
      </c>
    </row>
    <row r="294" spans="1:17" x14ac:dyDescent="0.25">
      <c r="A294" s="278">
        <v>8</v>
      </c>
      <c r="B294" s="424" t="str">
        <f>IF('Institution Tables'!$U$54="", "", ROUND('Institution Tables'!$U$54,0))</f>
        <v/>
      </c>
      <c r="C294" s="281" t="s">
        <v>715</v>
      </c>
      <c r="D294" s="281" t="s">
        <v>196</v>
      </c>
      <c r="H294" s="277">
        <f>IF(ProjektStart &gt;  DATE(FirstYear+4, 12, 31),  DATE(FirstYear+4, 1, 1), MAX(ProjektStart,DATE(FirstYear+4, 1, 1)))</f>
        <v>45658</v>
      </c>
      <c r="I294" s="277">
        <f>IF(ProjektSlut &lt;  DATE(FirstYear+4, 1, 1),  DATE(FirstYear+4, 12, 31), MIN(ProjektSlut,DATE(FirstYear+4, 12, 31)))</f>
        <v>46022</v>
      </c>
      <c r="M294" s="281" t="b">
        <v>0</v>
      </c>
    </row>
    <row r="295" spans="1:17" s="281" customFormat="1" x14ac:dyDescent="0.25">
      <c r="A295" s="281">
        <v>8</v>
      </c>
      <c r="B295" s="424" t="str">
        <f>IF('Institution Tables'!$V$54="", "", ROUND('Institution Tables'!$V$54,0))</f>
        <v/>
      </c>
      <c r="C295" s="281" t="s">
        <v>715</v>
      </c>
      <c r="D295" s="281" t="s">
        <v>196</v>
      </c>
      <c r="H295" s="282">
        <f>IF(ProjektStart &gt;  DATE(FirstYear+5, 12, 31),  DATE(FirstYear+5, 1, 1), MAX(ProjektStart,DATE(FirstYear+5, 1, 1)))</f>
        <v>46023</v>
      </c>
      <c r="I295" s="282">
        <f>IF(ProjektSlut &lt;  DATE(FirstYear+5, 1, 1),  DATE(FirstYear+5, 12, 31), MIN(ProjektSlut,DATE(FirstYear+5, 12, 31)))</f>
        <v>46387</v>
      </c>
      <c r="M295" s="281" t="b">
        <v>0</v>
      </c>
      <c r="Q295" s="278"/>
    </row>
    <row r="296" spans="1:17" s="281" customFormat="1" x14ac:dyDescent="0.25">
      <c r="A296" s="281">
        <v>8</v>
      </c>
      <c r="B296" s="424" t="str">
        <f>IF('Institution Tables'!$W$54="", "", ROUND('Institution Tables'!$W$54,0))</f>
        <v/>
      </c>
      <c r="C296" s="281" t="s">
        <v>715</v>
      </c>
      <c r="D296" s="281" t="s">
        <v>196</v>
      </c>
      <c r="H296" s="277">
        <f>IF(ProjektStart &gt;  DATE(FirstYear+6, 12, 31),  DATE(FirstYear+6, 1, 1), MAX(ProjektStart,DATE(FirstYear+6, 1, 1)))</f>
        <v>46388</v>
      </c>
      <c r="I296" s="277">
        <f>IF(ProjektSlut &lt;  DATE(FirstYear+6, 1, 1),  DATE(FirstYear+6, 12, 31), MIN(ProjektSlut,DATE(FirstYear+6, 12, 31)))</f>
        <v>46752</v>
      </c>
      <c r="M296" s="281" t="b">
        <v>0</v>
      </c>
      <c r="Q296" s="278"/>
    </row>
    <row r="297" spans="1:17" s="281" customFormat="1" x14ac:dyDescent="0.25">
      <c r="A297" s="281">
        <v>8</v>
      </c>
      <c r="B297" s="424" t="str">
        <f>IF('Institution Tables'!$X$54="", "", ROUND('Institution Tables'!$X$54,0))</f>
        <v/>
      </c>
      <c r="C297" s="281" t="s">
        <v>715</v>
      </c>
      <c r="D297" s="281" t="s">
        <v>196</v>
      </c>
      <c r="H297" s="277">
        <f>IF(ProjektStart &gt;  DATE(FirstYear+7, 12, 31),  DATE(FirstYear+7, 1, 1), MAX(ProjektStart,DATE(FirstYear+7, 1, 1)))</f>
        <v>46753</v>
      </c>
      <c r="I297" s="277">
        <f>IF(ProjektSlut &lt;  DATE(FirstYear+7, 1, 1),  DATE(FirstYear+7, 12, 31), MIN(ProjektSlut,DATE(FirstYear+7, 12, 31)))</f>
        <v>47118</v>
      </c>
      <c r="M297" s="281" t="b">
        <v>0</v>
      </c>
      <c r="Q297" s="278"/>
    </row>
    <row r="298" spans="1:17" s="281" customFormat="1" x14ac:dyDescent="0.25">
      <c r="A298" s="281">
        <v>8</v>
      </c>
      <c r="B298" s="424" t="str">
        <f>IF('Institution Tables'!$Y$54="", "", ROUND('Institution Tables'!$Y$54,0))</f>
        <v/>
      </c>
      <c r="C298" s="281" t="s">
        <v>715</v>
      </c>
      <c r="D298" s="281" t="s">
        <v>196</v>
      </c>
      <c r="H298" s="277">
        <f>IF(ProjektStart &gt;  DATE(FirstYear+8, 12, 31),  DATE(FirstYear+8, 1, 1), MAX(ProjektStart,DATE(FirstYear+8, 1, 1)))</f>
        <v>47119</v>
      </c>
      <c r="I298" s="277">
        <f>IF(ProjektSlut &lt;  DATE(FirstYear+8, 1, 1),  DATE(FirstYear+8, 12, 31), MIN(ProjektSlut,DATE(FirstYear+8, 12, 31)))</f>
        <v>47483</v>
      </c>
      <c r="M298" s="281" t="b">
        <v>0</v>
      </c>
      <c r="Q298" s="278"/>
    </row>
    <row r="299" spans="1:17" x14ac:dyDescent="0.25">
      <c r="A299" s="278">
        <v>9</v>
      </c>
      <c r="B299" s="424" t="str">
        <f>IF('Institution Tables'!$C$68="", "", ROUND('Institution Tables'!$C$68,0))</f>
        <v/>
      </c>
      <c r="C299" s="281" t="s">
        <v>715</v>
      </c>
      <c r="D299" s="281" t="s">
        <v>196</v>
      </c>
      <c r="H299" s="277">
        <f>IF(ProjektStart &gt;  DATE(FirstYear, 12, 31),  DATE(FirstYear, 1, 1), MAX(ProjektStart,DATE(FirstYear, 1, 1)))</f>
        <v>44197</v>
      </c>
      <c r="I299" s="277">
        <f>IF(ProjektSlut &lt;  DATE(FirstYear, 1, 1),  DATE(FirstYear, 12, 31), MIN(ProjektSlut,DATE(FirstYear, 12, 31)))</f>
        <v>44561</v>
      </c>
      <c r="M299" s="281" t="b">
        <v>0</v>
      </c>
    </row>
    <row r="300" spans="1:17" x14ac:dyDescent="0.25">
      <c r="A300" s="278">
        <v>9</v>
      </c>
      <c r="B300" s="424" t="str">
        <f>IF('Institution Tables'!$D$68="", "", ROUND('Institution Tables'!$D$68,0))</f>
        <v/>
      </c>
      <c r="C300" s="281" t="s">
        <v>715</v>
      </c>
      <c r="D300" s="281" t="s">
        <v>196</v>
      </c>
      <c r="H300" s="277">
        <f>IF(ProjektStart &gt;  DATE(FirstYear+1, 12, 31),  DATE(FirstYear+1, 1, 1), MAX(ProjektStart,DATE(FirstYear+1, 1, 1)))</f>
        <v>44562</v>
      </c>
      <c r="I300" s="277">
        <f>IF(ProjektSlut &lt;  DATE(FirstYear+1, 1, 1),  DATE(FirstYear+1, 12, 31), MIN(ProjektSlut,DATE(FirstYear+1, 12, 31)))</f>
        <v>44926</v>
      </c>
      <c r="M300" s="281" t="b">
        <v>0</v>
      </c>
    </row>
    <row r="301" spans="1:17" x14ac:dyDescent="0.25">
      <c r="A301" s="278">
        <v>9</v>
      </c>
      <c r="B301" s="424" t="str">
        <f>IF('Institution Tables'!$E$68="", "", ROUND('Institution Tables'!$E$68,0))</f>
        <v/>
      </c>
      <c r="C301" s="281" t="s">
        <v>715</v>
      </c>
      <c r="D301" s="281" t="s">
        <v>196</v>
      </c>
      <c r="H301" s="277">
        <f>IF(ProjektStart &gt;  DATE(FirstYear+2, 12, 31),  DATE(FirstYear+2, 1, 1), MAX(ProjektStart,DATE(FirstYear+2, 1, 1)))</f>
        <v>44927</v>
      </c>
      <c r="I301" s="277">
        <f>IF(ProjektSlut &lt;  DATE(FirstYear+2, 1, 1),  DATE(FirstYear+2, 12, 31), MIN(ProjektSlut,DATE(FirstYear+2, 12, 31)))</f>
        <v>45291</v>
      </c>
      <c r="M301" s="281" t="b">
        <v>0</v>
      </c>
    </row>
    <row r="302" spans="1:17" x14ac:dyDescent="0.25">
      <c r="A302" s="278">
        <v>9</v>
      </c>
      <c r="B302" s="424" t="str">
        <f>IF('Institution Tables'!$F$68="", "", ROUND('Institution Tables'!$F$68,0))</f>
        <v/>
      </c>
      <c r="C302" s="281" t="s">
        <v>715</v>
      </c>
      <c r="D302" s="281" t="s">
        <v>196</v>
      </c>
      <c r="H302" s="277">
        <f>IF(ProjektStart &gt;  DATE(FirstYear+3, 12, 31),  DATE(FirstYear+3, 1, 1), MAX(ProjektStart,DATE(FirstYear+3, 1, 1)))</f>
        <v>45292</v>
      </c>
      <c r="I302" s="277">
        <f>IF(ProjektSlut &lt;  DATE(FirstYear+3, 1, 1),  DATE(FirstYear+3, 12, 31), MIN(ProjektSlut,DATE(FirstYear+3, 12, 31)))</f>
        <v>45657</v>
      </c>
      <c r="M302" s="281" t="b">
        <v>0</v>
      </c>
    </row>
    <row r="303" spans="1:17" x14ac:dyDescent="0.25">
      <c r="A303" s="278">
        <v>9</v>
      </c>
      <c r="B303" s="424" t="str">
        <f>IF('Institution Tables'!$G$68="", "", ROUND('Institution Tables'!$G$68,0))</f>
        <v/>
      </c>
      <c r="C303" s="281" t="s">
        <v>715</v>
      </c>
      <c r="D303" s="281" t="s">
        <v>196</v>
      </c>
      <c r="H303" s="277">
        <f>IF(ProjektStart &gt;  DATE(FirstYear+4, 12, 31),  DATE(FirstYear+4, 1, 1), MAX(ProjektStart,DATE(FirstYear+4, 1, 1)))</f>
        <v>45658</v>
      </c>
      <c r="I303" s="277">
        <f>IF(ProjektSlut &lt;  DATE(FirstYear+4, 1, 1),  DATE(FirstYear+4, 12, 31), MIN(ProjektSlut,DATE(FirstYear+4, 12, 31)))</f>
        <v>46022</v>
      </c>
      <c r="M303" s="281" t="b">
        <v>0</v>
      </c>
    </row>
    <row r="304" spans="1:17" s="281" customFormat="1" x14ac:dyDescent="0.25">
      <c r="A304" s="281">
        <v>9</v>
      </c>
      <c r="B304" s="424" t="str">
        <f>IF('Institution Tables'!$H$68="", "", ROUND('Institution Tables'!$H$68,0))</f>
        <v/>
      </c>
      <c r="C304" s="281" t="s">
        <v>715</v>
      </c>
      <c r="D304" s="281" t="s">
        <v>196</v>
      </c>
      <c r="H304" s="282">
        <f>IF(ProjektStart &gt;  DATE(FirstYear+5, 12, 31),  DATE(FirstYear+5, 1, 1), MAX(ProjektStart,DATE(FirstYear+5, 1, 1)))</f>
        <v>46023</v>
      </c>
      <c r="I304" s="282">
        <f>IF(ProjektSlut &lt;  DATE(FirstYear+5, 1, 1),  DATE(FirstYear+5, 12, 31), MIN(ProjektSlut,DATE(FirstYear+5, 12, 31)))</f>
        <v>46387</v>
      </c>
      <c r="M304" s="281" t="b">
        <v>0</v>
      </c>
      <c r="Q304" s="278"/>
    </row>
    <row r="305" spans="1:17" s="281" customFormat="1" x14ac:dyDescent="0.25">
      <c r="A305" s="281">
        <v>9</v>
      </c>
      <c r="B305" s="424" t="str">
        <f>IF('Institution Tables'!$I$68="", "", ROUND('Institution Tables'!$I$68,0))</f>
        <v/>
      </c>
      <c r="C305" s="281" t="s">
        <v>715</v>
      </c>
      <c r="D305" s="281" t="s">
        <v>196</v>
      </c>
      <c r="H305" s="277">
        <f>IF(ProjektStart &gt;  DATE(FirstYear+6, 12, 31),  DATE(FirstYear+6, 1, 1), MAX(ProjektStart,DATE(FirstYear+6, 1, 1)))</f>
        <v>46388</v>
      </c>
      <c r="I305" s="277">
        <f>IF(ProjektSlut &lt;  DATE(FirstYear+6, 1, 1),  DATE(FirstYear+6, 12, 31), MIN(ProjektSlut,DATE(FirstYear+6, 12, 31)))</f>
        <v>46752</v>
      </c>
      <c r="M305" s="281" t="b">
        <v>0</v>
      </c>
      <c r="Q305" s="278"/>
    </row>
    <row r="306" spans="1:17" s="281" customFormat="1" x14ac:dyDescent="0.25">
      <c r="A306" s="281">
        <v>9</v>
      </c>
      <c r="B306" s="424" t="str">
        <f>IF('Institution Tables'!$J$68="", "", ROUND('Institution Tables'!$J$68,0))</f>
        <v/>
      </c>
      <c r="C306" s="281" t="s">
        <v>715</v>
      </c>
      <c r="D306" s="281" t="s">
        <v>196</v>
      </c>
      <c r="H306" s="277">
        <f>IF(ProjektStart &gt;  DATE(FirstYear+7, 12, 31),  DATE(FirstYear+7, 1, 1), MAX(ProjektStart,DATE(FirstYear+7, 1, 1)))</f>
        <v>46753</v>
      </c>
      <c r="I306" s="277">
        <f>IF(ProjektSlut &lt;  DATE(FirstYear+7, 1, 1),  DATE(FirstYear+7, 12, 31), MIN(ProjektSlut,DATE(FirstYear+7, 12, 31)))</f>
        <v>47118</v>
      </c>
      <c r="M306" s="281" t="b">
        <v>0</v>
      </c>
      <c r="Q306" s="278"/>
    </row>
    <row r="307" spans="1:17" s="281" customFormat="1" x14ac:dyDescent="0.25">
      <c r="A307" s="281">
        <v>9</v>
      </c>
      <c r="B307" s="424" t="str">
        <f>IF('Institution Tables'!$K$68="", "", ROUND('Institution Tables'!$K$68,0))</f>
        <v/>
      </c>
      <c r="C307" s="281" t="s">
        <v>715</v>
      </c>
      <c r="D307" s="281" t="s">
        <v>196</v>
      </c>
      <c r="H307" s="277">
        <f>IF(ProjektStart &gt;  DATE(FirstYear+8, 12, 31),  DATE(FirstYear+8, 1, 1), MAX(ProjektStart,DATE(FirstYear+8, 1, 1)))</f>
        <v>47119</v>
      </c>
      <c r="I307" s="277">
        <f>IF(ProjektSlut &lt;  DATE(FirstYear+8, 1, 1),  DATE(FirstYear+8, 12, 31), MIN(ProjektSlut,DATE(FirstYear+8, 12, 31)))</f>
        <v>47483</v>
      </c>
      <c r="M307" s="281" t="b">
        <v>0</v>
      </c>
      <c r="Q307" s="278"/>
    </row>
    <row r="308" spans="1:17" x14ac:dyDescent="0.25">
      <c r="A308" s="278">
        <v>10</v>
      </c>
      <c r="B308" s="424" t="str">
        <f>IF('Institution Tables'!$Q$68="", "", ROUND('Institution Tables'!$Q$68,0))</f>
        <v/>
      </c>
      <c r="C308" s="281" t="s">
        <v>715</v>
      </c>
      <c r="D308" s="281" t="s">
        <v>196</v>
      </c>
      <c r="H308" s="277">
        <f>IF(ProjektStart &gt;  DATE(FirstYear, 12, 31),  DATE(FirstYear, 1, 1), MAX(ProjektStart,DATE(FirstYear, 1, 1)))</f>
        <v>44197</v>
      </c>
      <c r="I308" s="277">
        <f>IF(ProjektSlut &lt;  DATE(FirstYear, 1, 1),  DATE(FirstYear, 12, 31), MIN(ProjektSlut,DATE(FirstYear, 12, 31)))</f>
        <v>44561</v>
      </c>
      <c r="M308" s="281" t="b">
        <v>0</v>
      </c>
    </row>
    <row r="309" spans="1:17" x14ac:dyDescent="0.25">
      <c r="A309" s="278">
        <v>10</v>
      </c>
      <c r="B309" s="424" t="str">
        <f>IF('Institution Tables'!$R$68="", "", ROUND('Institution Tables'!$R$68,0))</f>
        <v/>
      </c>
      <c r="C309" s="281" t="s">
        <v>715</v>
      </c>
      <c r="D309" s="281" t="s">
        <v>196</v>
      </c>
      <c r="H309" s="277">
        <f>IF(ProjektStart &gt;  DATE(FirstYear+1, 12, 31),  DATE(FirstYear+1, 1, 1), MAX(ProjektStart,DATE(FirstYear+1, 1, 1)))</f>
        <v>44562</v>
      </c>
      <c r="I309" s="277">
        <f>IF(ProjektSlut &lt;  DATE(FirstYear+1, 1, 1),  DATE(FirstYear+1, 12, 31), MIN(ProjektSlut,DATE(FirstYear+1, 12, 31)))</f>
        <v>44926</v>
      </c>
      <c r="M309" s="281" t="b">
        <v>0</v>
      </c>
    </row>
    <row r="310" spans="1:17" x14ac:dyDescent="0.25">
      <c r="A310" s="278">
        <v>10</v>
      </c>
      <c r="B310" s="424" t="str">
        <f>IF('Institution Tables'!$S$68="", "", ROUND('Institution Tables'!$S$68,0))</f>
        <v/>
      </c>
      <c r="C310" s="281" t="s">
        <v>715</v>
      </c>
      <c r="D310" s="281" t="s">
        <v>196</v>
      </c>
      <c r="H310" s="277">
        <f>IF(ProjektStart &gt;  DATE(FirstYear+2, 12, 31),  DATE(FirstYear+2, 1, 1), MAX(ProjektStart,DATE(FirstYear+2, 1, 1)))</f>
        <v>44927</v>
      </c>
      <c r="I310" s="277">
        <f>IF(ProjektSlut &lt;  DATE(FirstYear+2, 1, 1),  DATE(FirstYear+2, 12, 31), MIN(ProjektSlut,DATE(FirstYear+2, 12, 31)))</f>
        <v>45291</v>
      </c>
      <c r="M310" s="281" t="b">
        <v>0</v>
      </c>
    </row>
    <row r="311" spans="1:17" x14ac:dyDescent="0.25">
      <c r="A311" s="278">
        <v>10</v>
      </c>
      <c r="B311" s="424" t="str">
        <f>IF('Institution Tables'!$T$68="", "", ROUND('Institution Tables'!$T$68,0))</f>
        <v/>
      </c>
      <c r="C311" s="281" t="s">
        <v>715</v>
      </c>
      <c r="D311" s="281" t="s">
        <v>196</v>
      </c>
      <c r="H311" s="277">
        <f>IF(ProjektStart &gt;  DATE(FirstYear+3, 12, 31),  DATE(FirstYear+3, 1, 1), MAX(ProjektStart,DATE(FirstYear+3, 1, 1)))</f>
        <v>45292</v>
      </c>
      <c r="I311" s="277">
        <f>IF(ProjektSlut &lt;  DATE(FirstYear+3, 1, 1),  DATE(FirstYear+3, 12, 31), MIN(ProjektSlut,DATE(FirstYear+3, 12, 31)))</f>
        <v>45657</v>
      </c>
      <c r="M311" s="281" t="b">
        <v>0</v>
      </c>
    </row>
    <row r="312" spans="1:17" x14ac:dyDescent="0.25">
      <c r="A312" s="278">
        <v>10</v>
      </c>
      <c r="B312" s="424" t="str">
        <f>IF('Institution Tables'!$U$68="", "", ROUND('Institution Tables'!$U$68,0))</f>
        <v/>
      </c>
      <c r="C312" s="281" t="s">
        <v>715</v>
      </c>
      <c r="D312" s="281" t="s">
        <v>196</v>
      </c>
      <c r="H312" s="277">
        <f>IF(ProjektStart &gt;  DATE(FirstYear+4, 12, 31),  DATE(FirstYear+4, 1, 1), MAX(ProjektStart,DATE(FirstYear+4, 1, 1)))</f>
        <v>45658</v>
      </c>
      <c r="I312" s="277">
        <f>IF(ProjektSlut &lt;  DATE(FirstYear+4, 1, 1),  DATE(FirstYear+4, 12, 31), MIN(ProjektSlut,DATE(FirstYear+4, 12, 31)))</f>
        <v>46022</v>
      </c>
      <c r="M312" s="281" t="b">
        <v>0</v>
      </c>
    </row>
    <row r="313" spans="1:17" s="281" customFormat="1" x14ac:dyDescent="0.25">
      <c r="A313" s="281">
        <v>10</v>
      </c>
      <c r="B313" s="424" t="str">
        <f>IF('Institution Tables'!$V$68="", "", ROUND('Institution Tables'!$V$68,0))</f>
        <v/>
      </c>
      <c r="C313" s="281" t="s">
        <v>715</v>
      </c>
      <c r="D313" s="281" t="s">
        <v>196</v>
      </c>
      <c r="H313" s="282">
        <f>IF(ProjektStart &gt;  DATE(FirstYear+5, 12, 31),  DATE(FirstYear+5, 1, 1), MAX(ProjektStart,DATE(FirstYear+5, 1, 1)))</f>
        <v>46023</v>
      </c>
      <c r="I313" s="282">
        <f>IF(ProjektSlut &lt;  DATE(FirstYear+5, 1, 1),  DATE(FirstYear+5, 12, 31), MIN(ProjektSlut,DATE(FirstYear+5, 12, 31)))</f>
        <v>46387</v>
      </c>
      <c r="M313" s="281" t="b">
        <v>0</v>
      </c>
      <c r="Q313" s="278"/>
    </row>
    <row r="314" spans="1:17" s="281" customFormat="1" x14ac:dyDescent="0.25">
      <c r="A314" s="281">
        <v>10</v>
      </c>
      <c r="B314" s="424" t="str">
        <f>IF('Institution Tables'!$W$68="", "", ROUND('Institution Tables'!$W$68,0))</f>
        <v/>
      </c>
      <c r="C314" s="281" t="s">
        <v>715</v>
      </c>
      <c r="D314" s="281" t="s">
        <v>196</v>
      </c>
      <c r="H314" s="277">
        <f>IF(ProjektStart &gt;  DATE(FirstYear+6, 12, 31),  DATE(FirstYear+6, 1, 1), MAX(ProjektStart,DATE(FirstYear+6, 1, 1)))</f>
        <v>46388</v>
      </c>
      <c r="I314" s="277">
        <f>IF(ProjektSlut &lt;  DATE(FirstYear+6, 1, 1),  DATE(FirstYear+6, 12, 31), MIN(ProjektSlut,DATE(FirstYear+6, 12, 31)))</f>
        <v>46752</v>
      </c>
      <c r="M314" s="281" t="b">
        <v>0</v>
      </c>
      <c r="Q314" s="278"/>
    </row>
    <row r="315" spans="1:17" s="281" customFormat="1" x14ac:dyDescent="0.25">
      <c r="A315" s="281">
        <v>10</v>
      </c>
      <c r="B315" s="424" t="str">
        <f>IF('Institution Tables'!$X$68="", "", ROUND('Institution Tables'!$X$68,0))</f>
        <v/>
      </c>
      <c r="C315" s="281" t="s">
        <v>715</v>
      </c>
      <c r="D315" s="281" t="s">
        <v>196</v>
      </c>
      <c r="H315" s="277">
        <f>IF(ProjektStart &gt;  DATE(FirstYear+7, 12, 31),  DATE(FirstYear+7, 1, 1), MAX(ProjektStart,DATE(FirstYear+7, 1, 1)))</f>
        <v>46753</v>
      </c>
      <c r="I315" s="277">
        <f>IF(ProjektSlut &lt;  DATE(FirstYear+7, 1, 1),  DATE(FirstYear+7, 12, 31), MIN(ProjektSlut,DATE(FirstYear+7, 12, 31)))</f>
        <v>47118</v>
      </c>
      <c r="M315" s="281" t="b">
        <v>0</v>
      </c>
      <c r="Q315" s="278"/>
    </row>
    <row r="316" spans="1:17" s="281" customFormat="1" x14ac:dyDescent="0.25">
      <c r="A316" s="281">
        <v>10</v>
      </c>
      <c r="B316" s="424" t="str">
        <f>IF('Institution Tables'!$Y$68="", "", ROUND('Institution Tables'!$Y$68,0))</f>
        <v/>
      </c>
      <c r="C316" s="281" t="s">
        <v>715</v>
      </c>
      <c r="D316" s="281" t="s">
        <v>196</v>
      </c>
      <c r="H316" s="277">
        <f>IF(ProjektStart &gt;  DATE(FirstYear+8, 12, 31),  DATE(FirstYear+8, 1, 1), MAX(ProjektStart,DATE(FirstYear+8, 1, 1)))</f>
        <v>47119</v>
      </c>
      <c r="I316" s="277">
        <f>IF(ProjektSlut &lt;  DATE(FirstYear+8, 1, 1),  DATE(FirstYear+8, 12, 31), MIN(ProjektSlut,DATE(FirstYear+8, 12, 31)))</f>
        <v>47483</v>
      </c>
      <c r="M316" s="281" t="b">
        <v>0</v>
      </c>
      <c r="Q316" s="278"/>
    </row>
    <row r="317" spans="1:17" x14ac:dyDescent="0.25">
      <c r="A317" s="278">
        <v>11</v>
      </c>
      <c r="B317" s="353" t="str">
        <f>IF('Institution Tables'!$C$82="", "", ROUND('Institution Tables'!$C$82,0))</f>
        <v/>
      </c>
      <c r="C317" s="281" t="s">
        <v>715</v>
      </c>
      <c r="D317" s="281" t="s">
        <v>196</v>
      </c>
      <c r="H317" s="277">
        <f>IF(ProjektStart &gt;  DATE(FirstYear, 12, 31),  DATE(FirstYear, 1, 1), MAX(ProjektStart,DATE(FirstYear, 1, 1)))</f>
        <v>44197</v>
      </c>
      <c r="I317" s="277">
        <f>IF(ProjektSlut &lt;  DATE(FirstYear, 1, 1),  DATE(FirstYear, 12, 31), MIN(ProjektSlut,DATE(FirstYear, 12, 31)))</f>
        <v>44561</v>
      </c>
      <c r="M317" s="281" t="b">
        <v>0</v>
      </c>
    </row>
    <row r="318" spans="1:17" x14ac:dyDescent="0.25">
      <c r="A318" s="278">
        <v>11</v>
      </c>
      <c r="B318" s="354" t="str">
        <f>IF('Institution Tables'!$D$82="", "", ROUND('Institution Tables'!$D$82,0))</f>
        <v/>
      </c>
      <c r="C318" s="281" t="s">
        <v>715</v>
      </c>
      <c r="D318" s="281" t="s">
        <v>196</v>
      </c>
      <c r="H318" s="277">
        <f>IF(ProjektStart &gt;  DATE(FirstYear+1, 12, 31),  DATE(FirstYear+1, 1, 1), MAX(ProjektStart,DATE(FirstYear+1, 1, 1)))</f>
        <v>44562</v>
      </c>
      <c r="I318" s="277">
        <f>IF(ProjektSlut &lt;  DATE(FirstYear+1, 1, 1),  DATE(FirstYear+1, 12, 31), MIN(ProjektSlut,DATE(FirstYear+1, 12, 31)))</f>
        <v>44926</v>
      </c>
      <c r="M318" s="281" t="b">
        <v>0</v>
      </c>
    </row>
    <row r="319" spans="1:17" x14ac:dyDescent="0.25">
      <c r="A319" s="278">
        <v>11</v>
      </c>
      <c r="B319" s="353" t="str">
        <f>IF('Institution Tables'!$E$82="", "", ROUND('Institution Tables'!$E$82,0))</f>
        <v/>
      </c>
      <c r="C319" s="281" t="s">
        <v>715</v>
      </c>
      <c r="D319" s="281" t="s">
        <v>196</v>
      </c>
      <c r="H319" s="277">
        <f>IF(ProjektStart &gt;  DATE(FirstYear+2, 12, 31),  DATE(FirstYear+2, 1, 1), MAX(ProjektStart,DATE(FirstYear+2, 1, 1)))</f>
        <v>44927</v>
      </c>
      <c r="I319" s="277">
        <f>IF(ProjektSlut &lt;  DATE(FirstYear+2, 1, 1),  DATE(FirstYear+2, 12, 31), MIN(ProjektSlut,DATE(FirstYear+2, 12, 31)))</f>
        <v>45291</v>
      </c>
      <c r="M319" s="281" t="b">
        <v>0</v>
      </c>
    </row>
    <row r="320" spans="1:17" x14ac:dyDescent="0.25">
      <c r="A320" s="278">
        <v>11</v>
      </c>
      <c r="B320" s="354" t="str">
        <f>IF('Institution Tables'!$F$82="", "", ROUND('Institution Tables'!$F$82,0))</f>
        <v/>
      </c>
      <c r="C320" s="281" t="s">
        <v>715</v>
      </c>
      <c r="D320" s="281" t="s">
        <v>196</v>
      </c>
      <c r="H320" s="277">
        <f>IF(ProjektStart &gt;  DATE(FirstYear+3, 12, 31),  DATE(FirstYear+3, 1, 1), MAX(ProjektStart,DATE(FirstYear+3, 1, 1)))</f>
        <v>45292</v>
      </c>
      <c r="I320" s="277">
        <f>IF(ProjektSlut &lt;  DATE(FirstYear+3, 1, 1),  DATE(FirstYear+3, 12, 31), MIN(ProjektSlut,DATE(FirstYear+3, 12, 31)))</f>
        <v>45657</v>
      </c>
      <c r="M320" s="281" t="b">
        <v>0</v>
      </c>
    </row>
    <row r="321" spans="1:17" x14ac:dyDescent="0.25">
      <c r="A321" s="278">
        <v>11</v>
      </c>
      <c r="B321" s="353" t="str">
        <f>IF('Institution Tables'!$G$82="", "", ROUND('Institution Tables'!$G$82,0))</f>
        <v/>
      </c>
      <c r="C321" s="281" t="s">
        <v>715</v>
      </c>
      <c r="D321" s="281" t="s">
        <v>196</v>
      </c>
      <c r="H321" s="277">
        <f>IF(ProjektStart &gt;  DATE(FirstYear+4, 12, 31),  DATE(FirstYear+4, 1, 1), MAX(ProjektStart,DATE(FirstYear+4, 1, 1)))</f>
        <v>45658</v>
      </c>
      <c r="I321" s="277">
        <f>IF(ProjektSlut &lt;  DATE(FirstYear+4, 1, 1),  DATE(FirstYear+4, 12, 31), MIN(ProjektSlut,DATE(FirstYear+4, 12, 31)))</f>
        <v>46022</v>
      </c>
      <c r="M321" s="281" t="b">
        <v>0</v>
      </c>
    </row>
    <row r="322" spans="1:17" s="281" customFormat="1" x14ac:dyDescent="0.25">
      <c r="A322" s="281">
        <v>11</v>
      </c>
      <c r="B322" s="354" t="str">
        <f>IF('Institution Tables'!$H$82="", "", ROUND('Institution Tables'!$H$82,0))</f>
        <v/>
      </c>
      <c r="C322" s="281" t="s">
        <v>715</v>
      </c>
      <c r="D322" s="281" t="s">
        <v>196</v>
      </c>
      <c r="H322" s="282">
        <f>IF(ProjektStart &gt;  DATE(FirstYear+5, 12, 31),  DATE(FirstYear+5, 1, 1), MAX(ProjektStart,DATE(FirstYear+5, 1, 1)))</f>
        <v>46023</v>
      </c>
      <c r="I322" s="282">
        <f>IF(ProjektSlut &lt;  DATE(FirstYear+5, 1, 1),  DATE(FirstYear+5, 12, 31), MIN(ProjektSlut,DATE(FirstYear+5, 12, 31)))</f>
        <v>46387</v>
      </c>
      <c r="M322" s="281" t="b">
        <v>0</v>
      </c>
      <c r="Q322" s="278"/>
    </row>
    <row r="323" spans="1:17" s="281" customFormat="1" x14ac:dyDescent="0.25">
      <c r="A323" s="281">
        <v>11</v>
      </c>
      <c r="B323" s="353" t="str">
        <f>IF('Institution Tables'!$I$82="", "", ROUND('Institution Tables'!$I$82,0))</f>
        <v/>
      </c>
      <c r="C323" s="281" t="s">
        <v>715</v>
      </c>
      <c r="D323" s="281" t="s">
        <v>196</v>
      </c>
      <c r="H323" s="277">
        <f>IF(ProjektStart &gt;  DATE(FirstYear+6, 12, 31),  DATE(FirstYear+6, 1, 1), MAX(ProjektStart,DATE(FirstYear+6, 1, 1)))</f>
        <v>46388</v>
      </c>
      <c r="I323" s="277">
        <f>IF(ProjektSlut &lt;  DATE(FirstYear+6, 1, 1),  DATE(FirstYear+6, 12, 31), MIN(ProjektSlut,DATE(FirstYear+6, 12, 31)))</f>
        <v>46752</v>
      </c>
      <c r="M323" s="281" t="b">
        <v>0</v>
      </c>
      <c r="Q323" s="278"/>
    </row>
    <row r="324" spans="1:17" s="281" customFormat="1" x14ac:dyDescent="0.25">
      <c r="A324" s="281">
        <v>11</v>
      </c>
      <c r="B324" s="353" t="str">
        <f>IF('Institution Tables'!$J$82="", "", ROUND('Institution Tables'!$J$82,0))</f>
        <v/>
      </c>
      <c r="C324" s="281" t="s">
        <v>715</v>
      </c>
      <c r="D324" s="281" t="s">
        <v>196</v>
      </c>
      <c r="H324" s="277">
        <f>IF(ProjektStart &gt;  DATE(FirstYear+7, 12, 31),  DATE(FirstYear+7, 1, 1), MAX(ProjektStart,DATE(FirstYear+7, 1, 1)))</f>
        <v>46753</v>
      </c>
      <c r="I324" s="277">
        <f>IF(ProjektSlut &lt;  DATE(FirstYear+7, 1, 1),  DATE(FirstYear+7, 12, 31), MIN(ProjektSlut,DATE(FirstYear+7, 12, 31)))</f>
        <v>47118</v>
      </c>
      <c r="M324" s="281" t="b">
        <v>0</v>
      </c>
      <c r="Q324" s="278"/>
    </row>
    <row r="325" spans="1:17" s="281" customFormat="1" x14ac:dyDescent="0.25">
      <c r="A325" s="281">
        <v>11</v>
      </c>
      <c r="B325" s="353" t="str">
        <f>IF('Institution Tables'!$K$82="", "", ROUND('Institution Tables'!$K$82,0))</f>
        <v/>
      </c>
      <c r="C325" s="281" t="s">
        <v>715</v>
      </c>
      <c r="D325" s="281" t="s">
        <v>196</v>
      </c>
      <c r="H325" s="277">
        <f>IF(ProjektStart &gt;  DATE(FirstYear+8, 12, 31),  DATE(FirstYear+8, 1, 1), MAX(ProjektStart,DATE(FirstYear+8, 1, 1)))</f>
        <v>47119</v>
      </c>
      <c r="I325" s="277">
        <f>IF(ProjektSlut &lt;  DATE(FirstYear+8, 1, 1),  DATE(FirstYear+8, 12, 31), MIN(ProjektSlut,DATE(FirstYear+8, 12, 31)))</f>
        <v>47483</v>
      </c>
      <c r="M325" s="281" t="b">
        <v>0</v>
      </c>
      <c r="Q325" s="278"/>
    </row>
    <row r="326" spans="1:17" x14ac:dyDescent="0.25">
      <c r="A326" s="281">
        <v>1</v>
      </c>
      <c r="B326" s="279">
        <f>IF(SUM(Budget!$L$67,Budget!$L$68)="", "", ROUND(SUM(Budget!$L$67,Budget!$L$68),0))</f>
        <v>0</v>
      </c>
      <c r="C326" s="281" t="s">
        <v>716</v>
      </c>
      <c r="D326" s="281" t="s">
        <v>58</v>
      </c>
      <c r="E326" s="281"/>
      <c r="F326" s="281"/>
      <c r="G326" s="284"/>
      <c r="H326" s="282" t="str">
        <f>IF(Budget!$C$6="", "", Budget!$C$6)</f>
        <v/>
      </c>
      <c r="I326" s="282" t="str">
        <f>IF(Budget!$C$7="", "", Budget!$C$7)</f>
        <v/>
      </c>
      <c r="J326" s="285"/>
      <c r="K326" s="281"/>
      <c r="L326" s="281"/>
      <c r="M326" s="278" t="b">
        <v>0</v>
      </c>
      <c r="N326" s="281"/>
      <c r="O326" s="281"/>
      <c r="P326" s="281"/>
    </row>
    <row r="327" spans="1:17" x14ac:dyDescent="0.25">
      <c r="A327" s="281">
        <v>1</v>
      </c>
      <c r="B327" s="279">
        <f>IF(Budget!$L$72="", "", ROUND(Budget!$L$72,0))</f>
        <v>0</v>
      </c>
      <c r="C327" s="281" t="s">
        <v>716</v>
      </c>
      <c r="D327" s="281" t="s">
        <v>49</v>
      </c>
      <c r="E327" s="281"/>
      <c r="F327" s="281"/>
      <c r="G327" s="284"/>
      <c r="H327" s="282" t="str">
        <f>IF(Budget!$C$6="", "", Budget!$C$6)</f>
        <v/>
      </c>
      <c r="I327" s="282" t="str">
        <f>IF(Budget!$C$7="", "", Budget!$C$7)</f>
        <v/>
      </c>
      <c r="J327" s="285"/>
      <c r="K327" s="281"/>
      <c r="L327" s="281"/>
      <c r="M327" s="278" t="b">
        <v>0</v>
      </c>
      <c r="N327" s="281"/>
      <c r="O327" s="281"/>
      <c r="P327" s="281"/>
    </row>
    <row r="328" spans="1:17" x14ac:dyDescent="0.25">
      <c r="A328" s="281">
        <v>1</v>
      </c>
      <c r="B328" s="279">
        <f>IF(Budget!$L$69="", "", ROUND(Budget!$L$69,0))</f>
        <v>0</v>
      </c>
      <c r="C328" s="281" t="s">
        <v>716</v>
      </c>
      <c r="D328" s="281" t="s">
        <v>686</v>
      </c>
      <c r="E328" s="281"/>
      <c r="F328" s="281"/>
      <c r="G328" s="284"/>
      <c r="H328" s="282" t="str">
        <f>IF(Budget!$C$6="", "", Budget!$C$6)</f>
        <v/>
      </c>
      <c r="I328" s="282" t="str">
        <f>IF(Budget!$C$7="", "", Budget!$C$7)</f>
        <v/>
      </c>
      <c r="J328" s="285"/>
      <c r="K328" s="281"/>
      <c r="L328" s="281"/>
      <c r="M328" s="278" t="b">
        <v>0</v>
      </c>
      <c r="N328" s="281"/>
      <c r="O328" s="281"/>
      <c r="P328" s="281"/>
    </row>
    <row r="329" spans="1:17" x14ac:dyDescent="0.25">
      <c r="A329" s="281">
        <v>1</v>
      </c>
      <c r="B329" s="279">
        <f>IF(Budget!$L$70="", "", ROUND(Budget!$L$70,0))</f>
        <v>0</v>
      </c>
      <c r="C329" s="281" t="s">
        <v>716</v>
      </c>
      <c r="D329" s="281" t="s">
        <v>685</v>
      </c>
      <c r="E329" s="281"/>
      <c r="F329" s="281"/>
      <c r="G329" s="284"/>
      <c r="H329" s="282" t="str">
        <f>IF(Budget!$C$6="", "", Budget!$C$6)</f>
        <v/>
      </c>
      <c r="I329" s="282" t="str">
        <f>IF(Budget!$C$7="", "", Budget!$C$7)</f>
        <v/>
      </c>
      <c r="J329" s="285"/>
      <c r="K329" s="281"/>
      <c r="L329" s="281"/>
      <c r="M329" s="278" t="b">
        <v>0</v>
      </c>
      <c r="N329" s="281"/>
      <c r="O329" s="281"/>
      <c r="P329" s="281"/>
    </row>
    <row r="330" spans="1:17" x14ac:dyDescent="0.25">
      <c r="A330" s="281">
        <v>1</v>
      </c>
      <c r="B330" s="279">
        <f>IF(Budget!$L$73="", "", ROUND(Budget!$L$73,0))</f>
        <v>0</v>
      </c>
      <c r="C330" s="281" t="s">
        <v>716</v>
      </c>
      <c r="D330" s="281" t="s">
        <v>723</v>
      </c>
      <c r="E330" s="281"/>
      <c r="F330" s="281"/>
      <c r="G330" s="284"/>
      <c r="H330" s="282" t="str">
        <f>IF(Budget!$C$6="", "", Budget!$C$6)</f>
        <v/>
      </c>
      <c r="I330" s="282" t="str">
        <f>IF(Budget!$C$7="", "", Budget!$C$7)</f>
        <v/>
      </c>
      <c r="J330" s="285"/>
      <c r="K330" s="281"/>
      <c r="L330" s="281"/>
      <c r="M330" s="278" t="b">
        <v>0</v>
      </c>
      <c r="N330" s="281"/>
      <c r="O330" s="281"/>
      <c r="P330" s="281"/>
    </row>
    <row r="331" spans="1:17" x14ac:dyDescent="0.25">
      <c r="A331" s="281">
        <v>1</v>
      </c>
      <c r="B331" s="279">
        <f>IF(Budget!$L$74="", "", ROUND(Budget!$L$74,0))</f>
        <v>0</v>
      </c>
      <c r="C331" s="281" t="s">
        <v>716</v>
      </c>
      <c r="D331" s="281" t="s">
        <v>40</v>
      </c>
      <c r="E331" s="281"/>
      <c r="F331" s="281"/>
      <c r="G331" s="284"/>
      <c r="H331" s="282" t="str">
        <f>IF(Budget!$C$6="", "", Budget!$C$6)</f>
        <v/>
      </c>
      <c r="I331" s="282" t="str">
        <f>IF(Budget!$C$7="", "", Budget!$C$7)</f>
        <v/>
      </c>
      <c r="J331" s="285"/>
      <c r="K331" s="281"/>
      <c r="L331" s="281"/>
      <c r="M331" s="278" t="b">
        <v>0</v>
      </c>
      <c r="N331" s="281"/>
      <c r="O331" s="281"/>
      <c r="P331" s="281"/>
    </row>
    <row r="332" spans="1:17" x14ac:dyDescent="0.25">
      <c r="A332" s="281">
        <v>1</v>
      </c>
      <c r="B332" s="279">
        <f>IF(SUM(Budget!$M$67,Budget!$M$68)="", "", ROUND(SUM(Budget!$M$67,Budget!$M$68),0))</f>
        <v>0</v>
      </c>
      <c r="C332" s="281" t="s">
        <v>717</v>
      </c>
      <c r="D332" s="281" t="s">
        <v>58</v>
      </c>
      <c r="E332" s="281"/>
      <c r="F332" s="281"/>
      <c r="G332" s="284"/>
      <c r="H332" s="282" t="str">
        <f>IF(Budget!$C$6="", "", Budget!$C$6)</f>
        <v/>
      </c>
      <c r="I332" s="282" t="str">
        <f>IF(Budget!$C$7="", "", Budget!$C$7)</f>
        <v/>
      </c>
      <c r="J332" s="285"/>
      <c r="K332" s="281"/>
      <c r="L332" s="281"/>
      <c r="M332" s="278" t="b">
        <v>0</v>
      </c>
      <c r="N332" s="281"/>
      <c r="O332" s="281"/>
      <c r="P332" s="281"/>
    </row>
    <row r="333" spans="1:17" x14ac:dyDescent="0.25">
      <c r="A333" s="281">
        <v>1</v>
      </c>
      <c r="B333" s="279">
        <f>IF(Budget!$M$72="", "", ROUND(Budget!$M$72,0))</f>
        <v>0</v>
      </c>
      <c r="C333" s="281" t="s">
        <v>717</v>
      </c>
      <c r="D333" s="281" t="s">
        <v>49</v>
      </c>
      <c r="E333" s="281"/>
      <c r="F333" s="281"/>
      <c r="G333" s="284"/>
      <c r="H333" s="282" t="str">
        <f>IF(Budget!$C$6="", "", Budget!$C$6)</f>
        <v/>
      </c>
      <c r="I333" s="282" t="str">
        <f>IF(Budget!$C$7="", "", Budget!$C$7)</f>
        <v/>
      </c>
      <c r="J333" s="285"/>
      <c r="K333" s="281"/>
      <c r="L333" s="281"/>
      <c r="M333" s="278" t="b">
        <v>0</v>
      </c>
      <c r="N333" s="281"/>
      <c r="O333" s="281"/>
      <c r="P333" s="281"/>
    </row>
    <row r="334" spans="1:17" x14ac:dyDescent="0.25">
      <c r="A334" s="281">
        <v>1</v>
      </c>
      <c r="B334" s="279">
        <f>IF(Budget!$M$69="", "", ROUND(Budget!$M$69,0))</f>
        <v>0</v>
      </c>
      <c r="C334" s="281" t="s">
        <v>717</v>
      </c>
      <c r="D334" s="281" t="s">
        <v>686</v>
      </c>
      <c r="E334" s="281"/>
      <c r="F334" s="281"/>
      <c r="G334" s="284"/>
      <c r="H334" s="282" t="str">
        <f>IF(Budget!$C$6="", "", Budget!$C$6)</f>
        <v/>
      </c>
      <c r="I334" s="282" t="str">
        <f>IF(Budget!$C$7="", "", Budget!$C$7)</f>
        <v/>
      </c>
      <c r="J334" s="285"/>
      <c r="K334" s="281"/>
      <c r="L334" s="281"/>
      <c r="M334" s="278" t="b">
        <v>0</v>
      </c>
      <c r="N334" s="281"/>
      <c r="O334" s="281"/>
      <c r="P334" s="281"/>
    </row>
    <row r="335" spans="1:17" x14ac:dyDescent="0.25">
      <c r="A335" s="281">
        <v>1</v>
      </c>
      <c r="B335" s="279">
        <f>IF(Budget!$M$70="", "", ROUND(Budget!$M$70,0))</f>
        <v>0</v>
      </c>
      <c r="C335" s="281" t="s">
        <v>717</v>
      </c>
      <c r="D335" s="281" t="s">
        <v>685</v>
      </c>
      <c r="E335" s="281"/>
      <c r="F335" s="281"/>
      <c r="G335" s="284"/>
      <c r="H335" s="282" t="str">
        <f>IF(Budget!$C$6="", "", Budget!$C$6)</f>
        <v/>
      </c>
      <c r="I335" s="282" t="str">
        <f>IF(Budget!$C$7="", "", Budget!$C$7)</f>
        <v/>
      </c>
      <c r="J335" s="285"/>
      <c r="K335" s="281"/>
      <c r="L335" s="281"/>
      <c r="M335" s="278" t="b">
        <v>0</v>
      </c>
      <c r="N335" s="281"/>
      <c r="O335" s="281"/>
      <c r="P335" s="281"/>
    </row>
    <row r="336" spans="1:17" x14ac:dyDescent="0.25">
      <c r="A336" s="281">
        <v>1</v>
      </c>
      <c r="B336" s="279">
        <f>IF(Budget!$M$73="", "", ROUND(Budget!$M$73,0))</f>
        <v>0</v>
      </c>
      <c r="C336" s="281" t="s">
        <v>717</v>
      </c>
      <c r="D336" s="281" t="s">
        <v>723</v>
      </c>
      <c r="E336" s="281"/>
      <c r="F336" s="281"/>
      <c r="G336" s="284"/>
      <c r="H336" s="282" t="str">
        <f>IF(Budget!$C$6="", "", Budget!$C$6)</f>
        <v/>
      </c>
      <c r="I336" s="282" t="str">
        <f>IF(Budget!$C$7="", "", Budget!$C$7)</f>
        <v/>
      </c>
      <c r="J336" s="285"/>
      <c r="K336" s="281"/>
      <c r="L336" s="281"/>
      <c r="M336" s="278" t="b">
        <v>0</v>
      </c>
      <c r="N336" s="281"/>
      <c r="O336" s="281"/>
      <c r="P336" s="281"/>
    </row>
    <row r="337" spans="1:16" x14ac:dyDescent="0.25">
      <c r="A337" s="281">
        <v>1</v>
      </c>
      <c r="B337" s="279">
        <f>IF(Budget!$M$74="", "", ROUND(Budget!$M$74,0))</f>
        <v>0</v>
      </c>
      <c r="C337" s="281" t="s">
        <v>717</v>
      </c>
      <c r="D337" s="281" t="s">
        <v>40</v>
      </c>
      <c r="E337" s="281"/>
      <c r="F337" s="281"/>
      <c r="G337" s="284"/>
      <c r="H337" s="282" t="str">
        <f>IF(Budget!$C$6="", "", Budget!$C$6)</f>
        <v/>
      </c>
      <c r="I337" s="282" t="str">
        <f>IF(Budget!$C$7="", "", Budget!$C$7)</f>
        <v/>
      </c>
      <c r="J337" s="285"/>
      <c r="K337" s="281"/>
      <c r="L337" s="281"/>
      <c r="M337" s="278" t="b">
        <v>0</v>
      </c>
      <c r="N337" s="281"/>
      <c r="O337" s="281"/>
      <c r="P337" s="281"/>
    </row>
    <row r="338" spans="1:16" x14ac:dyDescent="0.25">
      <c r="A338" s="278" t="str">
        <f>IF(Budget!$C26="", "", INDEX(Partnere!$A$2:$A$12, MATCH(Budget!$C26, Partnere!$F$2:$F$12, 0)))</f>
        <v/>
      </c>
      <c r="B338" s="279" t="str">
        <f>IF(Budget!$Q26="", "", ROUND(Budget!$Q26,0))</f>
        <v/>
      </c>
      <c r="C338" s="278" t="s">
        <v>715</v>
      </c>
      <c r="D338" s="278" t="s">
        <v>58</v>
      </c>
      <c r="E338" s="278" t="s">
        <v>724</v>
      </c>
      <c r="F338" s="278">
        <f>IFERROR(Budget!$G26,"")</f>
        <v>0</v>
      </c>
      <c r="H338" s="277"/>
      <c r="I338" s="277"/>
      <c r="J338" s="278">
        <f>IFERROR(Budget!$X26,"")</f>
        <v>0</v>
      </c>
      <c r="M338" s="278" t="b">
        <v>1</v>
      </c>
      <c r="N338" s="278" t="str">
        <f>IFERROR(TRIM(Budget!$E26),"")</f>
        <v/>
      </c>
      <c r="O338" s="278" t="str">
        <f>IFERROR(TRIM(Budget!$F26),"")</f>
        <v/>
      </c>
      <c r="P338" s="278" t="str">
        <f>IFERROR(Budget!$A26,"")</f>
        <v>Applicant</v>
      </c>
    </row>
    <row r="339" spans="1:16" x14ac:dyDescent="0.25">
      <c r="A339" s="278" t="str">
        <f>IF(Budget!$C27="", "", INDEX(Partnere!$A$2:$A$12, MATCH(Budget!$C27, Partnere!$F$2:$F$12, 0)))</f>
        <v/>
      </c>
      <c r="B339" s="279" t="str">
        <f>IF(Budget!$Q27="", "", ROUND(Budget!$Q27,0))</f>
        <v/>
      </c>
      <c r="C339" s="278" t="s">
        <v>715</v>
      </c>
      <c r="D339" s="278" t="str">
        <f>IF(Budget!$A27="","",VLOOKUP(Budget!$A27,OmkostningsParticipantsTabel[#Data],2,FALSE))</f>
        <v/>
      </c>
      <c r="E339" s="278" t="s">
        <v>724</v>
      </c>
      <c r="F339" s="278">
        <f>IFERROR(Budget!$G27,"")</f>
        <v>0</v>
      </c>
      <c r="H339" s="277"/>
      <c r="I339" s="277"/>
      <c r="J339" s="278">
        <f>IFERROR(Budget!$X27,"")</f>
        <v>0</v>
      </c>
      <c r="M339" s="278" t="b">
        <v>1</v>
      </c>
      <c r="N339" s="278" t="str">
        <f>IFERROR(TRIM(Budget!$E27),"")</f>
        <v/>
      </c>
      <c r="O339" s="278" t="str">
        <f>IFERROR(TRIM(Budget!$F27),"")</f>
        <v/>
      </c>
      <c r="P339" s="278" t="str">
        <f>IFERROR(IF(Budget!$AL27 &gt; 0,CONCATENATE(Budget!$A27," ",Budget!$AL27),""),"")</f>
        <v/>
      </c>
    </row>
    <row r="340" spans="1:16" x14ac:dyDescent="0.25">
      <c r="A340" s="278" t="str">
        <f>IF(Budget!$C28="", "", INDEX(Partnere!$A$2:$A$12, MATCH(Budget!$C28, Partnere!$F$2:$F$12, 0)))</f>
        <v/>
      </c>
      <c r="B340" s="279" t="str">
        <f>IF(Budget!$Q28="", "", ROUND(Budget!$Q28,0))</f>
        <v/>
      </c>
      <c r="C340" s="278" t="s">
        <v>715</v>
      </c>
      <c r="D340" s="278" t="str">
        <f>IF(Budget!$A28="","",VLOOKUP(Budget!$A28,OmkostningsParticipantsTabel[#Data],2,FALSE))</f>
        <v/>
      </c>
      <c r="E340" s="278" t="s">
        <v>724</v>
      </c>
      <c r="F340" s="278">
        <f>IFERROR(Budget!$G28,"")</f>
        <v>0</v>
      </c>
      <c r="H340" s="277"/>
      <c r="I340" s="277"/>
      <c r="J340" s="278">
        <f>IFERROR(Budget!$X28,"")</f>
        <v>0</v>
      </c>
      <c r="M340" s="278" t="b">
        <v>1</v>
      </c>
      <c r="N340" s="278" t="str">
        <f>IFERROR(TRIM(Budget!$E28),"")</f>
        <v/>
      </c>
      <c r="O340" s="278" t="str">
        <f>IFERROR(TRIM(Budget!$F28),"")</f>
        <v/>
      </c>
      <c r="P340" s="278" t="str">
        <f>IFERROR(IF(Budget!$AL28 &gt; 0,CONCATENATE(Budget!$A28," ",Budget!$AL28),""),"")</f>
        <v/>
      </c>
    </row>
    <row r="341" spans="1:16" x14ac:dyDescent="0.25">
      <c r="A341" s="278" t="str">
        <f>IF(Budget!$C29="", "", INDEX(Partnere!$A$2:$A$12, MATCH(Budget!$C29, Partnere!$F$2:$F$12, 0)))</f>
        <v/>
      </c>
      <c r="B341" s="279" t="str">
        <f>IF(Budget!$Q29="", "", ROUND(Budget!$Q29,0))</f>
        <v/>
      </c>
      <c r="C341" s="278" t="s">
        <v>715</v>
      </c>
      <c r="D341" s="278" t="str">
        <f>IF(Budget!$A29="","",VLOOKUP(Budget!$A29,OmkostningsParticipantsTabel[#Data],2,FALSE))</f>
        <v/>
      </c>
      <c r="E341" s="278" t="s">
        <v>724</v>
      </c>
      <c r="F341" s="278">
        <f>IFERROR(Budget!$G29,"")</f>
        <v>0</v>
      </c>
      <c r="H341" s="277"/>
      <c r="I341" s="277"/>
      <c r="J341" s="278">
        <f>IFERROR(Budget!$X29,"")</f>
        <v>0</v>
      </c>
      <c r="M341" s="278" t="b">
        <v>1</v>
      </c>
      <c r="N341" s="278" t="str">
        <f>IFERROR(TRIM(Budget!$E29),"")</f>
        <v/>
      </c>
      <c r="O341" s="278" t="str">
        <f>IFERROR(TRIM(Budget!$F29),"")</f>
        <v/>
      </c>
      <c r="P341" s="278" t="str">
        <f>IFERROR(IF(Budget!$AL29 &gt; 0,CONCATENATE(Budget!$A29," ",Budget!$AL29),""),"")</f>
        <v/>
      </c>
    </row>
    <row r="342" spans="1:16" x14ac:dyDescent="0.25">
      <c r="A342" s="278" t="str">
        <f>IF(Budget!$C30="", "", INDEX(Partnere!$A$2:$A$12, MATCH(Budget!$C30, Partnere!$F$2:$F$12, 0)))</f>
        <v/>
      </c>
      <c r="B342" s="279" t="str">
        <f>IF(Budget!$Q30="", "", ROUND(Budget!$Q30,0))</f>
        <v/>
      </c>
      <c r="C342" s="278" t="s">
        <v>715</v>
      </c>
      <c r="D342" s="278" t="str">
        <f>IF(Budget!$A30="","",VLOOKUP(Budget!$A30,OmkostningsParticipantsTabel[#Data],2,FALSE))</f>
        <v/>
      </c>
      <c r="E342" s="278" t="s">
        <v>724</v>
      </c>
      <c r="F342" s="278">
        <f>IFERROR(Budget!$G30,"")</f>
        <v>0</v>
      </c>
      <c r="H342" s="277"/>
      <c r="I342" s="277"/>
      <c r="J342" s="278">
        <f>IFERROR(Budget!$X30,"")</f>
        <v>0</v>
      </c>
      <c r="M342" s="278" t="b">
        <v>1</v>
      </c>
      <c r="N342" s="278" t="str">
        <f>IFERROR(TRIM(Budget!$E30),"")</f>
        <v/>
      </c>
      <c r="O342" s="278" t="str">
        <f>IFERROR(TRIM(Budget!$F30),"")</f>
        <v/>
      </c>
      <c r="P342" s="278" t="str">
        <f>IFERROR(IF(Budget!$AL30 &gt; 0,CONCATENATE(Budget!$A30," ",Budget!$AL30),""),"")</f>
        <v/>
      </c>
    </row>
    <row r="343" spans="1:16" x14ac:dyDescent="0.25">
      <c r="A343" s="278" t="str">
        <f>IF(Budget!$C31="", "", INDEX(Partnere!$A$2:$A$12, MATCH(Budget!$C31, Partnere!$F$2:$F$12, 0)))</f>
        <v/>
      </c>
      <c r="B343" s="279" t="str">
        <f>IF(Budget!$Q31="", "", ROUND(Budget!$Q31,0))</f>
        <v/>
      </c>
      <c r="C343" s="278" t="s">
        <v>715</v>
      </c>
      <c r="D343" s="278" t="str">
        <f>IF(Budget!$A31="","",VLOOKUP(Budget!$A31,OmkostningsParticipantsTabel[#Data],2,FALSE))</f>
        <v/>
      </c>
      <c r="E343" s="278" t="s">
        <v>724</v>
      </c>
      <c r="F343" s="278">
        <f>IFERROR(Budget!$G31,"")</f>
        <v>0</v>
      </c>
      <c r="H343" s="277"/>
      <c r="I343" s="277"/>
      <c r="J343" s="278">
        <f>IFERROR(Budget!$X31,"")</f>
        <v>0</v>
      </c>
      <c r="M343" s="278" t="b">
        <v>1</v>
      </c>
      <c r="N343" s="278" t="str">
        <f>IFERROR(TRIM(Budget!$E31),"")</f>
        <v/>
      </c>
      <c r="O343" s="278" t="str">
        <f>IFERROR(TRIM(Budget!$F31),"")</f>
        <v/>
      </c>
      <c r="P343" s="278" t="str">
        <f>IFERROR(IF(Budget!$AL31 &gt; 0,CONCATENATE(Budget!$A31," ",Budget!$AL31),""),"")</f>
        <v/>
      </c>
    </row>
    <row r="344" spans="1:16" x14ac:dyDescent="0.25">
      <c r="A344" s="278" t="str">
        <f>IF(Budget!$C32="", "", INDEX(Partnere!$A$2:$A$12, MATCH(Budget!$C32, Partnere!$F$2:$F$12, 0)))</f>
        <v/>
      </c>
      <c r="B344" s="279" t="str">
        <f>IF(Budget!$Q32="", "", ROUND(Budget!$Q32,0))</f>
        <v/>
      </c>
      <c r="C344" s="278" t="s">
        <v>715</v>
      </c>
      <c r="D344" s="278" t="str">
        <f>IF(Budget!$A32="","",VLOOKUP(Budget!$A32,OmkostningsParticipantsTabel[#Data],2,FALSE))</f>
        <v/>
      </c>
      <c r="E344" s="278" t="s">
        <v>724</v>
      </c>
      <c r="F344" s="278">
        <f>IFERROR(Budget!$G32,"")</f>
        <v>0</v>
      </c>
      <c r="H344" s="277"/>
      <c r="I344" s="277"/>
      <c r="J344" s="278">
        <f>IFERROR(Budget!$X32,"")</f>
        <v>0</v>
      </c>
      <c r="M344" s="278" t="b">
        <v>1</v>
      </c>
      <c r="N344" s="278" t="str">
        <f>IFERROR(TRIM(Budget!$E32),"")</f>
        <v/>
      </c>
      <c r="O344" s="278" t="str">
        <f>IFERROR(TRIM(Budget!$F32),"")</f>
        <v/>
      </c>
      <c r="P344" s="278" t="str">
        <f>IFERROR(IF(Budget!$AL32 &gt; 0,CONCATENATE(Budget!$A32," ",Budget!$AL32),""),"")</f>
        <v/>
      </c>
    </row>
    <row r="345" spans="1:16" x14ac:dyDescent="0.25">
      <c r="A345" s="278" t="str">
        <f>IF(Budget!$C33="", "", INDEX(Partnere!$A$2:$A$12, MATCH(Budget!$C33, Partnere!$F$2:$F$12, 0)))</f>
        <v/>
      </c>
      <c r="B345" s="279" t="str">
        <f>IF(Budget!$Q33="", "", ROUND(Budget!$Q33,0))</f>
        <v/>
      </c>
      <c r="C345" s="278" t="s">
        <v>715</v>
      </c>
      <c r="D345" s="278" t="str">
        <f>IF(Budget!$A33="","",VLOOKUP(Budget!$A33,OmkostningsParticipantsTabel[#Data],2,FALSE))</f>
        <v/>
      </c>
      <c r="E345" s="278" t="s">
        <v>724</v>
      </c>
      <c r="F345" s="278">
        <f>IFERROR(Budget!$G33,"")</f>
        <v>0</v>
      </c>
      <c r="H345" s="277"/>
      <c r="I345" s="277"/>
      <c r="J345" s="278">
        <f>IFERROR(Budget!$X33,"")</f>
        <v>0</v>
      </c>
      <c r="M345" s="278" t="b">
        <v>1</v>
      </c>
      <c r="N345" s="278" t="str">
        <f>IFERROR(TRIM(Budget!$E33),"")</f>
        <v/>
      </c>
      <c r="O345" s="278" t="str">
        <f>IFERROR(TRIM(Budget!$F33),"")</f>
        <v/>
      </c>
      <c r="P345" s="278" t="str">
        <f>IFERROR(IF(Budget!$AL33 &gt; 0,CONCATENATE(Budget!$A33," ",Budget!$AL33),""),"")</f>
        <v/>
      </c>
    </row>
    <row r="346" spans="1:16" x14ac:dyDescent="0.25">
      <c r="A346" s="278" t="str">
        <f>IF(Budget!$C34="", "", INDEX(Partnere!$A$2:$A$12, MATCH(Budget!$C34, Partnere!$F$2:$F$12, 0)))</f>
        <v/>
      </c>
      <c r="B346" s="279" t="str">
        <f>IF(Budget!$Q34="", "", ROUND(Budget!$Q34,0))</f>
        <v/>
      </c>
      <c r="C346" s="278" t="s">
        <v>715</v>
      </c>
      <c r="D346" s="278" t="str">
        <f>IF(Budget!$A34="","",VLOOKUP(Budget!$A34,OmkostningsParticipantsTabel[#Data],2,FALSE))</f>
        <v/>
      </c>
      <c r="E346" s="278" t="s">
        <v>724</v>
      </c>
      <c r="F346" s="278">
        <f>IFERROR(Budget!$G34,"")</f>
        <v>0</v>
      </c>
      <c r="H346" s="277"/>
      <c r="I346" s="277"/>
      <c r="J346" s="278">
        <f>IFERROR(Budget!$X34,"")</f>
        <v>0</v>
      </c>
      <c r="M346" s="278" t="b">
        <v>1</v>
      </c>
      <c r="N346" s="278" t="str">
        <f>IFERROR(TRIM(Budget!$E34),"")</f>
        <v/>
      </c>
      <c r="O346" s="278" t="str">
        <f>IFERROR(TRIM(Budget!$F34),"")</f>
        <v/>
      </c>
      <c r="P346" s="278" t="str">
        <f>IFERROR(IF(Budget!$AL34 &gt; 0,CONCATENATE(Budget!$A34," ",Budget!$AL34),""),"")</f>
        <v/>
      </c>
    </row>
    <row r="347" spans="1:16" x14ac:dyDescent="0.25">
      <c r="A347" s="278" t="str">
        <f>IF(Budget!$C35="", "", INDEX(Partnere!$A$2:$A$12, MATCH(Budget!$C35, Partnere!$F$2:$F$12, 0)))</f>
        <v/>
      </c>
      <c r="B347" s="279" t="str">
        <f>IF(Budget!$Q35="", "", ROUND(Budget!$Q35,0))</f>
        <v/>
      </c>
      <c r="C347" s="278" t="s">
        <v>715</v>
      </c>
      <c r="D347" s="278" t="str">
        <f>IF(Budget!$A35="","",VLOOKUP(Budget!$A35,OmkostningsParticipantsTabel[#Data],2,FALSE))</f>
        <v/>
      </c>
      <c r="E347" s="278" t="s">
        <v>724</v>
      </c>
      <c r="F347" s="278">
        <f>IFERROR(Budget!$G35,"")</f>
        <v>0</v>
      </c>
      <c r="H347" s="277"/>
      <c r="I347" s="277"/>
      <c r="J347" s="278">
        <f>IFERROR(Budget!$X35,"")</f>
        <v>0</v>
      </c>
      <c r="M347" s="278" t="b">
        <v>1</v>
      </c>
      <c r="N347" s="278" t="str">
        <f>IFERROR(TRIM(Budget!$E35),"")</f>
        <v/>
      </c>
      <c r="O347" s="278" t="str">
        <f>IFERROR(TRIM(Budget!$F35),"")</f>
        <v/>
      </c>
      <c r="P347" s="278" t="str">
        <f>IFERROR(IF(Budget!$AL35 &gt; 0,CONCATENATE(Budget!$A35," ",Budget!$AL35),""),"")</f>
        <v/>
      </c>
    </row>
    <row r="348" spans="1:16" x14ac:dyDescent="0.25">
      <c r="A348" s="278" t="str">
        <f>IF(Budget!$C36="", "", INDEX(Partnere!$A$2:$A$12, MATCH(Budget!$C36, Partnere!$F$2:$F$12, 0)))</f>
        <v/>
      </c>
      <c r="B348" s="279" t="str">
        <f>IF(Budget!$Q36="", "", ROUND(Budget!$Q36,0))</f>
        <v/>
      </c>
      <c r="C348" s="278" t="s">
        <v>715</v>
      </c>
      <c r="D348" s="278" t="str">
        <f>IF(Budget!$A36="","",VLOOKUP(Budget!$A36,OmkostningsParticipantsTabel[#Data],2,FALSE))</f>
        <v/>
      </c>
      <c r="E348" s="278" t="s">
        <v>724</v>
      </c>
      <c r="F348" s="278">
        <f>IFERROR(Budget!$G36,"")</f>
        <v>0</v>
      </c>
      <c r="H348" s="277"/>
      <c r="I348" s="277"/>
      <c r="J348" s="278">
        <f>IFERROR(Budget!$X36,"")</f>
        <v>0</v>
      </c>
      <c r="M348" s="278" t="b">
        <v>1</v>
      </c>
      <c r="N348" s="278" t="str">
        <f>IFERROR(TRIM(Budget!$E36),"")</f>
        <v/>
      </c>
      <c r="O348" s="278" t="str">
        <f>IFERROR(TRIM(Budget!$F36),"")</f>
        <v/>
      </c>
      <c r="P348" s="278" t="str">
        <f>IFERROR(IF(Budget!$AL36 &gt; 0,CONCATENATE(Budget!$A36," ",Budget!$AL36),""),"")</f>
        <v/>
      </c>
    </row>
    <row r="349" spans="1:16" x14ac:dyDescent="0.25">
      <c r="A349" s="278" t="str">
        <f>IF(Budget!$C37="", "", INDEX(Partnere!$A$2:$A$12, MATCH(Budget!$C37, Partnere!$F$2:$F$12, 0)))</f>
        <v/>
      </c>
      <c r="B349" s="279" t="str">
        <f>IF(Budget!$Q37="", "", ROUND(Budget!$Q37,0))</f>
        <v/>
      </c>
      <c r="C349" s="278" t="s">
        <v>715</v>
      </c>
      <c r="D349" s="278" t="str">
        <f>IF(Budget!$A37="","",VLOOKUP(Budget!$A37,OmkostningsParticipantsTabel[#Data],2,FALSE))</f>
        <v/>
      </c>
      <c r="E349" s="278" t="s">
        <v>724</v>
      </c>
      <c r="F349" s="278">
        <f>IFERROR(Budget!$G37,"")</f>
        <v>0</v>
      </c>
      <c r="H349" s="277"/>
      <c r="I349" s="277"/>
      <c r="J349" s="278">
        <f>IFERROR(Budget!$X37,"")</f>
        <v>0</v>
      </c>
      <c r="M349" s="278" t="b">
        <v>1</v>
      </c>
      <c r="N349" s="278" t="str">
        <f>IFERROR(TRIM(Budget!$E37),"")</f>
        <v/>
      </c>
      <c r="O349" s="278" t="str">
        <f>IFERROR(TRIM(Budget!$F37),"")</f>
        <v/>
      </c>
      <c r="P349" s="278" t="str">
        <f>IFERROR(IF(Budget!$AL37 &gt; 0,CONCATENATE(Budget!$A37," ",Budget!$AL37),""),"")</f>
        <v/>
      </c>
    </row>
    <row r="350" spans="1:16" x14ac:dyDescent="0.25">
      <c r="A350" s="278" t="str">
        <f>IF(Budget!$C38="", "", INDEX(Partnere!$A$2:$A$12, MATCH(Budget!$C38, Partnere!$F$2:$F$12, 0)))</f>
        <v/>
      </c>
      <c r="B350" s="279" t="str">
        <f>IF(Budget!$Q38="", "", ROUND(Budget!$Q38,0))</f>
        <v/>
      </c>
      <c r="C350" s="278" t="s">
        <v>715</v>
      </c>
      <c r="D350" s="278" t="str">
        <f>IF(Budget!$A38="","",VLOOKUP(Budget!$A38,OmkostningsParticipantsTabel[#Data],2,FALSE))</f>
        <v/>
      </c>
      <c r="E350" s="278" t="s">
        <v>724</v>
      </c>
      <c r="F350" s="278">
        <f>IFERROR(Budget!$G38,"")</f>
        <v>0</v>
      </c>
      <c r="H350" s="277"/>
      <c r="I350" s="277"/>
      <c r="J350" s="278">
        <f>IFERROR(Budget!$X38,"")</f>
        <v>0</v>
      </c>
      <c r="M350" s="278" t="b">
        <v>1</v>
      </c>
      <c r="N350" s="278" t="str">
        <f>IFERROR(TRIM(Budget!$E38),"")</f>
        <v/>
      </c>
      <c r="O350" s="278" t="str">
        <f>IFERROR(TRIM(Budget!$F38),"")</f>
        <v/>
      </c>
      <c r="P350" s="278" t="str">
        <f>IFERROR(IF(Budget!$AL38 &gt; 0,CONCATENATE(Budget!$A38," ",Budget!$AL38),""),"")</f>
        <v/>
      </c>
    </row>
    <row r="351" spans="1:16" x14ac:dyDescent="0.25">
      <c r="A351" s="278" t="str">
        <f>IF(Budget!$C39="", "", INDEX(Partnere!$A$2:$A$12, MATCH(Budget!$C39, Partnere!$F$2:$F$12, 0)))</f>
        <v/>
      </c>
      <c r="B351" s="279" t="str">
        <f>IF(Budget!$Q39="", "", ROUND(Budget!$Q39,0))</f>
        <v/>
      </c>
      <c r="C351" s="278" t="s">
        <v>715</v>
      </c>
      <c r="D351" s="278" t="str">
        <f>IF(Budget!$A39="","",VLOOKUP(Budget!$A39,OmkostningsParticipantsTabel[#Data],2,FALSE))</f>
        <v/>
      </c>
      <c r="E351" s="278" t="s">
        <v>724</v>
      </c>
      <c r="F351" s="278">
        <f>IFERROR(Budget!$G39,"")</f>
        <v>0</v>
      </c>
      <c r="H351" s="277"/>
      <c r="I351" s="277"/>
      <c r="J351" s="278">
        <f>IFERROR(Budget!$X39,"")</f>
        <v>0</v>
      </c>
      <c r="M351" s="278" t="b">
        <v>1</v>
      </c>
      <c r="N351" s="278" t="str">
        <f>IFERROR(TRIM(Budget!$E39),"")</f>
        <v/>
      </c>
      <c r="O351" s="278" t="str">
        <f>IFERROR(TRIM(Budget!$F39),"")</f>
        <v/>
      </c>
      <c r="P351" s="278" t="str">
        <f>IFERROR(IF(Budget!$AL39 &gt; 0,CONCATENATE(Budget!$A39," ",Budget!$AL39),""),"")</f>
        <v/>
      </c>
    </row>
    <row r="352" spans="1:16" x14ac:dyDescent="0.25">
      <c r="A352" s="278" t="str">
        <f>IF(Budget!$C40="", "", INDEX(Partnere!$A$2:$A$12, MATCH(Budget!$C40, Partnere!$F$2:$F$12, 0)))</f>
        <v/>
      </c>
      <c r="B352" s="279" t="str">
        <f>IF(Budget!$Q40="", "", ROUND(Budget!$Q40,0))</f>
        <v/>
      </c>
      <c r="C352" s="278" t="s">
        <v>715</v>
      </c>
      <c r="D352" s="278" t="str">
        <f>IF(Budget!$A40="","",VLOOKUP(Budget!$A40,OmkostningsParticipantsTabel[#Data],2,FALSE))</f>
        <v/>
      </c>
      <c r="E352" s="278" t="s">
        <v>724</v>
      </c>
      <c r="F352" s="278">
        <f>IFERROR(Budget!$G40,"")</f>
        <v>0</v>
      </c>
      <c r="H352" s="277"/>
      <c r="I352" s="277"/>
      <c r="J352" s="278">
        <f>IFERROR(Budget!$X40,"")</f>
        <v>0</v>
      </c>
      <c r="M352" s="278" t="b">
        <v>1</v>
      </c>
      <c r="N352" s="278" t="str">
        <f>IFERROR(TRIM(Budget!$E40),"")</f>
        <v/>
      </c>
      <c r="O352" s="278" t="str">
        <f>IFERROR(TRIM(Budget!$F40),"")</f>
        <v/>
      </c>
      <c r="P352" s="278" t="str">
        <f>IFERROR(IF(Budget!$AL40 &gt; 0,CONCATENATE(Budget!$A40," ",Budget!$AL40),""),"")</f>
        <v/>
      </c>
    </row>
    <row r="353" spans="1:16" x14ac:dyDescent="0.25">
      <c r="A353" s="278" t="str">
        <f>IF(Budget!$C26="", "", INDEX(Partnere!$A$2:$A$12, MATCH(Budget!$C26, Partnere!$F$2:$F$12, 0)))</f>
        <v/>
      </c>
      <c r="B353" s="279" t="str">
        <f>IF(Budget!$S26="", "", ROUND(Budget!$S26,0))</f>
        <v/>
      </c>
      <c r="C353" s="278" t="s">
        <v>716</v>
      </c>
      <c r="D353" s="278" t="s">
        <v>58</v>
      </c>
      <c r="E353" s="278" t="s">
        <v>724</v>
      </c>
      <c r="F353" s="278" t="str">
        <f>IF(Budget!$R26="", "", ROUND(Budget!$R26,0))</f>
        <v/>
      </c>
      <c r="H353" s="277"/>
      <c r="I353" s="277"/>
      <c r="J353" s="278">
        <f>IFERROR(Budget!$X26,"")</f>
        <v>0</v>
      </c>
      <c r="M353" s="278" t="b">
        <v>1</v>
      </c>
      <c r="N353" s="278" t="str">
        <f>IFERROR(TRIM(Budget!$E26),"")</f>
        <v/>
      </c>
      <c r="O353" s="278" t="str">
        <f>IFERROR(TRIM(Budget!$F26),"")</f>
        <v/>
      </c>
      <c r="P353" s="278" t="str">
        <f>IFERROR(Budget!$A26,"")</f>
        <v>Applicant</v>
      </c>
    </row>
    <row r="354" spans="1:16" x14ac:dyDescent="0.25">
      <c r="A354" s="278" t="str">
        <f>IF(Budget!$C27="", "", INDEX(Partnere!$A$2:$A$12, MATCH(Budget!$C27, Partnere!$F$2:$F$12, 0)))</f>
        <v/>
      </c>
      <c r="B354" s="279" t="str">
        <f>IF(Budget!$S27="", "", ROUND(Budget!$S27,0))</f>
        <v/>
      </c>
      <c r="C354" s="278" t="s">
        <v>716</v>
      </c>
      <c r="D354" s="278" t="str">
        <f>IF(Budget!$A27="","",VLOOKUP(Budget!$A27,OmkostningsParticipantsTabel[#Data],2,FALSE))</f>
        <v/>
      </c>
      <c r="E354" s="278" t="s">
        <v>724</v>
      </c>
      <c r="F354" s="278" t="str">
        <f>IF(Budget!$R27="", "", ROUND(Budget!$R27,0))</f>
        <v/>
      </c>
      <c r="H354" s="277"/>
      <c r="I354" s="277"/>
      <c r="J354" s="278">
        <f>IFERROR(Budget!$X27,"")</f>
        <v>0</v>
      </c>
      <c r="M354" s="278" t="b">
        <v>1</v>
      </c>
      <c r="N354" s="278" t="str">
        <f>IFERROR(TRIM(Budget!$E27),"")</f>
        <v/>
      </c>
      <c r="O354" s="278" t="str">
        <f>IFERROR(TRIM(Budget!$F27),"")</f>
        <v/>
      </c>
      <c r="P354" s="278" t="str">
        <f>IFERROR(IF(Budget!$AL27 &gt; 0,CONCATENATE(Budget!$A27," ",Budget!$AL27),""),"")</f>
        <v/>
      </c>
    </row>
    <row r="355" spans="1:16" x14ac:dyDescent="0.25">
      <c r="A355" s="278" t="str">
        <f>IF(Budget!$C28="", "", INDEX(Partnere!$A$2:$A$12, MATCH(Budget!$C28, Partnere!$F$2:$F$12, 0)))</f>
        <v/>
      </c>
      <c r="B355" s="279" t="str">
        <f>IF(Budget!$S28="", "", ROUND(Budget!$S28,0))</f>
        <v/>
      </c>
      <c r="C355" s="278" t="s">
        <v>716</v>
      </c>
      <c r="D355" s="278" t="str">
        <f>IF(Budget!$A28="","",VLOOKUP(Budget!$A28,OmkostningsParticipantsTabel[#Data],2,FALSE))</f>
        <v/>
      </c>
      <c r="E355" s="278" t="s">
        <v>724</v>
      </c>
      <c r="F355" s="278" t="str">
        <f>IF(Budget!$R28="", "", ROUND(Budget!$R28,0))</f>
        <v/>
      </c>
      <c r="H355" s="277"/>
      <c r="I355" s="277"/>
      <c r="J355" s="278">
        <f>IFERROR(Budget!$X28,"")</f>
        <v>0</v>
      </c>
      <c r="M355" s="278" t="b">
        <v>1</v>
      </c>
      <c r="N355" s="278" t="str">
        <f>IFERROR(TRIM(Budget!$E28),"")</f>
        <v/>
      </c>
      <c r="O355" s="278" t="str">
        <f>IFERROR(TRIM(Budget!$F28),"")</f>
        <v/>
      </c>
      <c r="P355" s="278" t="str">
        <f>IFERROR(IF(Budget!$AL28 &gt; 0,CONCATENATE(Budget!$A28," ",Budget!$AL28),""),"")</f>
        <v/>
      </c>
    </row>
    <row r="356" spans="1:16" x14ac:dyDescent="0.25">
      <c r="A356" s="278" t="str">
        <f>IF(Budget!$C29="", "", INDEX(Partnere!$A$2:$A$12, MATCH(Budget!$C29, Partnere!$F$2:$F$12, 0)))</f>
        <v/>
      </c>
      <c r="B356" s="279" t="str">
        <f>IF(Budget!$S29="", "", ROUND(Budget!$S29,0))</f>
        <v/>
      </c>
      <c r="C356" s="278" t="s">
        <v>716</v>
      </c>
      <c r="D356" s="278" t="str">
        <f>IF(Budget!$A29="","",VLOOKUP(Budget!$A29,OmkostningsParticipantsTabel[#Data],2,FALSE))</f>
        <v/>
      </c>
      <c r="E356" s="278" t="s">
        <v>724</v>
      </c>
      <c r="F356" s="278" t="str">
        <f>IF(Budget!$R29="", "", ROUND(Budget!$R29,0))</f>
        <v/>
      </c>
      <c r="H356" s="277"/>
      <c r="I356" s="277"/>
      <c r="J356" s="278">
        <f>IFERROR(Budget!$X29,"")</f>
        <v>0</v>
      </c>
      <c r="M356" s="278" t="b">
        <v>1</v>
      </c>
      <c r="N356" s="278" t="str">
        <f>IFERROR(TRIM(Budget!$E29),"")</f>
        <v/>
      </c>
      <c r="O356" s="278" t="str">
        <f>IFERROR(TRIM(Budget!$F29),"")</f>
        <v/>
      </c>
      <c r="P356" s="278" t="str">
        <f>IFERROR(IF(Budget!$AL29 &gt; 0,CONCATENATE(Budget!$A29," ",Budget!$AL29),""),"")</f>
        <v/>
      </c>
    </row>
    <row r="357" spans="1:16" x14ac:dyDescent="0.25">
      <c r="A357" s="278" t="str">
        <f>IF(Budget!$C30="", "", INDEX(Partnere!$A$2:$A$12, MATCH(Budget!$C30, Partnere!$F$2:$F$12, 0)))</f>
        <v/>
      </c>
      <c r="B357" s="279" t="str">
        <f>IF(Budget!$S30="", "", ROUND(Budget!$S30,0))</f>
        <v/>
      </c>
      <c r="C357" s="278" t="s">
        <v>716</v>
      </c>
      <c r="D357" s="278" t="str">
        <f>IF(Budget!$A30="","",VLOOKUP(Budget!$A30,OmkostningsParticipantsTabel[#Data],2,FALSE))</f>
        <v/>
      </c>
      <c r="E357" s="278" t="s">
        <v>724</v>
      </c>
      <c r="F357" s="278" t="str">
        <f>IF(Budget!$R30="", "", ROUND(Budget!$R30,0))</f>
        <v/>
      </c>
      <c r="H357" s="277"/>
      <c r="I357" s="277"/>
      <c r="J357" s="278">
        <f>IFERROR(Budget!$X30,"")</f>
        <v>0</v>
      </c>
      <c r="M357" s="278" t="b">
        <v>1</v>
      </c>
      <c r="N357" s="278" t="str">
        <f>IFERROR(TRIM(Budget!$E30),"")</f>
        <v/>
      </c>
      <c r="O357" s="278" t="str">
        <f>IFERROR(TRIM(Budget!$F30),"")</f>
        <v/>
      </c>
      <c r="P357" s="278" t="str">
        <f>IFERROR(IF(Budget!$AL30 &gt; 0,CONCATENATE(Budget!$A30," ",Budget!$AL30),""),"")</f>
        <v/>
      </c>
    </row>
    <row r="358" spans="1:16" x14ac:dyDescent="0.25">
      <c r="A358" s="278" t="str">
        <f>IF(Budget!$C31="", "", INDEX(Partnere!$A$2:$A$12, MATCH(Budget!$C31, Partnere!$F$2:$F$12, 0)))</f>
        <v/>
      </c>
      <c r="B358" s="279" t="str">
        <f>IF(Budget!$S31="", "", ROUND(Budget!$S31,0))</f>
        <v/>
      </c>
      <c r="C358" s="278" t="s">
        <v>716</v>
      </c>
      <c r="D358" s="278" t="str">
        <f>IF(Budget!$A31="","",VLOOKUP(Budget!$A31,OmkostningsParticipantsTabel[#Data],2,FALSE))</f>
        <v/>
      </c>
      <c r="E358" s="278" t="s">
        <v>724</v>
      </c>
      <c r="F358" s="278" t="str">
        <f>IF(Budget!$R31="", "", ROUND(Budget!$R31,0))</f>
        <v/>
      </c>
      <c r="H358" s="277"/>
      <c r="I358" s="277"/>
      <c r="J358" s="278">
        <f>IFERROR(Budget!$X31,"")</f>
        <v>0</v>
      </c>
      <c r="M358" s="278" t="b">
        <v>1</v>
      </c>
      <c r="N358" s="278" t="str">
        <f>IFERROR(TRIM(Budget!$E31),"")</f>
        <v/>
      </c>
      <c r="O358" s="278" t="str">
        <f>IFERROR(TRIM(Budget!$F31),"")</f>
        <v/>
      </c>
      <c r="P358" s="278" t="str">
        <f>IFERROR(IF(Budget!$AL31 &gt; 0,CONCATENATE(Budget!$A31," ",Budget!$AL31),""),"")</f>
        <v/>
      </c>
    </row>
    <row r="359" spans="1:16" x14ac:dyDescent="0.25">
      <c r="A359" s="278" t="str">
        <f>IF(Budget!$C32="", "", INDEX(Partnere!$A$2:$A$12, MATCH(Budget!$C32, Partnere!$F$2:$F$12, 0)))</f>
        <v/>
      </c>
      <c r="B359" s="279" t="str">
        <f>IF(Budget!$S32="", "", ROUND(Budget!$S32,0))</f>
        <v/>
      </c>
      <c r="C359" s="278" t="s">
        <v>716</v>
      </c>
      <c r="D359" s="278" t="str">
        <f>IF(Budget!$A32="","",VLOOKUP(Budget!$A32,OmkostningsParticipantsTabel[#Data],2,FALSE))</f>
        <v/>
      </c>
      <c r="E359" s="278" t="s">
        <v>724</v>
      </c>
      <c r="F359" s="278" t="str">
        <f>IF(Budget!$R32="", "", ROUND(Budget!$R32,0))</f>
        <v/>
      </c>
      <c r="H359" s="277"/>
      <c r="I359" s="277"/>
      <c r="J359" s="278">
        <f>IFERROR(Budget!$X32,"")</f>
        <v>0</v>
      </c>
      <c r="M359" s="278" t="b">
        <v>1</v>
      </c>
      <c r="N359" s="278" t="str">
        <f>IFERROR(TRIM(Budget!$E32),"")</f>
        <v/>
      </c>
      <c r="O359" s="278" t="str">
        <f>IFERROR(TRIM(Budget!$F32),"")</f>
        <v/>
      </c>
      <c r="P359" s="278" t="str">
        <f>IFERROR(IF(Budget!$AL32 &gt; 0,CONCATENATE(Budget!$A32," ",Budget!$AL32),""),"")</f>
        <v/>
      </c>
    </row>
    <row r="360" spans="1:16" x14ac:dyDescent="0.25">
      <c r="A360" s="278" t="str">
        <f>IF(Budget!$C33="", "", INDEX(Partnere!$A$2:$A$12, MATCH(Budget!$C33, Partnere!$F$2:$F$12, 0)))</f>
        <v/>
      </c>
      <c r="B360" s="279" t="str">
        <f>IF(Budget!$S33="", "", ROUND(Budget!$S33,0))</f>
        <v/>
      </c>
      <c r="C360" s="278" t="s">
        <v>716</v>
      </c>
      <c r="D360" s="278" t="str">
        <f>IF(Budget!$A33="","",VLOOKUP(Budget!$A33,OmkostningsParticipantsTabel[#Data],2,FALSE))</f>
        <v/>
      </c>
      <c r="E360" s="278" t="s">
        <v>724</v>
      </c>
      <c r="F360" s="278" t="str">
        <f>IF(Budget!$R33="", "", ROUND(Budget!$R33,0))</f>
        <v/>
      </c>
      <c r="H360" s="277"/>
      <c r="I360" s="277"/>
      <c r="J360" s="278">
        <f>IFERROR(Budget!$X33,"")</f>
        <v>0</v>
      </c>
      <c r="M360" s="278" t="b">
        <v>1</v>
      </c>
      <c r="N360" s="278" t="str">
        <f>IFERROR(TRIM(Budget!$E33),"")</f>
        <v/>
      </c>
      <c r="O360" s="278" t="str">
        <f>IFERROR(TRIM(Budget!$F33),"")</f>
        <v/>
      </c>
      <c r="P360" s="278" t="str">
        <f>IFERROR(IF(Budget!$AL33 &gt; 0,CONCATENATE(Budget!$A33," ",Budget!$AL33),""),"")</f>
        <v/>
      </c>
    </row>
    <row r="361" spans="1:16" x14ac:dyDescent="0.25">
      <c r="A361" s="278" t="str">
        <f>IF(Budget!$C34="", "", INDEX(Partnere!$A$2:$A$12, MATCH(Budget!$C34, Partnere!$F$2:$F$12, 0)))</f>
        <v/>
      </c>
      <c r="B361" s="279" t="str">
        <f>IF(Budget!$S34="", "", ROUND(Budget!$S34,0))</f>
        <v/>
      </c>
      <c r="C361" s="278" t="s">
        <v>716</v>
      </c>
      <c r="D361" s="278" t="str">
        <f>IF(Budget!$A34="","",VLOOKUP(Budget!$A34,OmkostningsParticipantsTabel[#Data],2,FALSE))</f>
        <v/>
      </c>
      <c r="E361" s="278" t="s">
        <v>724</v>
      </c>
      <c r="F361" s="278" t="str">
        <f>IF(Budget!$R34="", "", ROUND(Budget!$R34,0))</f>
        <v/>
      </c>
      <c r="H361" s="277"/>
      <c r="I361" s="277"/>
      <c r="J361" s="278">
        <f>IFERROR(Budget!$X34,"")</f>
        <v>0</v>
      </c>
      <c r="M361" s="278" t="b">
        <v>1</v>
      </c>
      <c r="N361" s="278" t="str">
        <f>IFERROR(TRIM(Budget!$E34),"")</f>
        <v/>
      </c>
      <c r="O361" s="278" t="str">
        <f>IFERROR(TRIM(Budget!$F34),"")</f>
        <v/>
      </c>
      <c r="P361" s="278" t="str">
        <f>IFERROR(IF(Budget!$AL34 &gt; 0,CONCATENATE(Budget!$A34," ",Budget!$AL34),""),"")</f>
        <v/>
      </c>
    </row>
    <row r="362" spans="1:16" x14ac:dyDescent="0.25">
      <c r="A362" s="278" t="str">
        <f>IF(Budget!$C35="", "", INDEX(Partnere!$A$2:$A$12, MATCH(Budget!$C35, Partnere!$F$2:$F$12, 0)))</f>
        <v/>
      </c>
      <c r="B362" s="279" t="str">
        <f>IF(Budget!$S35="", "", ROUND(Budget!$S35,0))</f>
        <v/>
      </c>
      <c r="C362" s="278" t="s">
        <v>716</v>
      </c>
      <c r="D362" s="278" t="str">
        <f>IF(Budget!$A35="","",VLOOKUP(Budget!$A35,OmkostningsParticipantsTabel[#Data],2,FALSE))</f>
        <v/>
      </c>
      <c r="E362" s="278" t="s">
        <v>724</v>
      </c>
      <c r="F362" s="278" t="str">
        <f>IF(Budget!$R35="", "", ROUND(Budget!$R35,0))</f>
        <v/>
      </c>
      <c r="H362" s="277"/>
      <c r="I362" s="277"/>
      <c r="J362" s="278">
        <f>IFERROR(Budget!$X35,"")</f>
        <v>0</v>
      </c>
      <c r="M362" s="278" t="b">
        <v>1</v>
      </c>
      <c r="N362" s="278" t="str">
        <f>IFERROR(TRIM(Budget!$E35),"")</f>
        <v/>
      </c>
      <c r="O362" s="278" t="str">
        <f>IFERROR(TRIM(Budget!$F35),"")</f>
        <v/>
      </c>
      <c r="P362" s="278" t="str">
        <f>IFERROR(IF(Budget!$AL35 &gt; 0,CONCATENATE(Budget!$A35," ",Budget!$AL35),""),"")</f>
        <v/>
      </c>
    </row>
    <row r="363" spans="1:16" x14ac:dyDescent="0.25">
      <c r="A363" s="278" t="str">
        <f>IF(Budget!$C36="", "", INDEX(Partnere!$A$2:$A$12, MATCH(Budget!$C36, Partnere!$F$2:$F$12, 0)))</f>
        <v/>
      </c>
      <c r="B363" s="279" t="str">
        <f>IF(Budget!$S36="", "", ROUND(Budget!$S36,0))</f>
        <v/>
      </c>
      <c r="C363" s="278" t="s">
        <v>716</v>
      </c>
      <c r="D363" s="278" t="str">
        <f>IF(Budget!$A36="","",VLOOKUP(Budget!$A36,OmkostningsParticipantsTabel[#Data],2,FALSE))</f>
        <v/>
      </c>
      <c r="E363" s="278" t="s">
        <v>724</v>
      </c>
      <c r="F363" s="278" t="str">
        <f>IF(Budget!$R36="", "", ROUND(Budget!$R36,0))</f>
        <v/>
      </c>
      <c r="H363" s="277"/>
      <c r="I363" s="277"/>
      <c r="J363" s="278">
        <f>IFERROR(Budget!$X36,"")</f>
        <v>0</v>
      </c>
      <c r="M363" s="278" t="b">
        <v>1</v>
      </c>
      <c r="N363" s="278" t="str">
        <f>IFERROR(TRIM(Budget!$E36),"")</f>
        <v/>
      </c>
      <c r="O363" s="278" t="str">
        <f>IFERROR(TRIM(Budget!$F36),"")</f>
        <v/>
      </c>
      <c r="P363" s="278" t="str">
        <f>IFERROR(IF(Budget!$AL36 &gt; 0,CONCATENATE(Budget!$A36," ",Budget!$AL36),""),"")</f>
        <v/>
      </c>
    </row>
    <row r="364" spans="1:16" x14ac:dyDescent="0.25">
      <c r="A364" s="278" t="str">
        <f>IF(Budget!$C37="", "", INDEX(Partnere!$A$2:$A$12, MATCH(Budget!$C37, Partnere!$F$2:$F$12, 0)))</f>
        <v/>
      </c>
      <c r="B364" s="279" t="str">
        <f>IF(Budget!$S37="", "", ROUND(Budget!$S37,0))</f>
        <v/>
      </c>
      <c r="C364" s="278" t="s">
        <v>716</v>
      </c>
      <c r="D364" s="278" t="str">
        <f>IF(Budget!$A37="","",VLOOKUP(Budget!$A37,OmkostningsParticipantsTabel[#Data],2,FALSE))</f>
        <v/>
      </c>
      <c r="E364" s="278" t="s">
        <v>724</v>
      </c>
      <c r="F364" s="278" t="str">
        <f>IF(Budget!$R37="", "", ROUND(Budget!$R37,0))</f>
        <v/>
      </c>
      <c r="H364" s="277"/>
      <c r="I364" s="277"/>
      <c r="J364" s="278">
        <f>IFERROR(Budget!$X37,"")</f>
        <v>0</v>
      </c>
      <c r="M364" s="278" t="b">
        <v>1</v>
      </c>
      <c r="N364" s="278" t="str">
        <f>IFERROR(TRIM(Budget!$E37),"")</f>
        <v/>
      </c>
      <c r="O364" s="278" t="str">
        <f>IFERROR(TRIM(Budget!$F37),"")</f>
        <v/>
      </c>
      <c r="P364" s="278" t="str">
        <f>IFERROR(IF(Budget!$AL37 &gt; 0,CONCATENATE(Budget!$A37," ",Budget!$AL37),""),"")</f>
        <v/>
      </c>
    </row>
    <row r="365" spans="1:16" x14ac:dyDescent="0.25">
      <c r="A365" s="278" t="str">
        <f>IF(Budget!$C38="", "", INDEX(Partnere!$A$2:$A$12, MATCH(Budget!$C38, Partnere!$F$2:$F$12, 0)))</f>
        <v/>
      </c>
      <c r="B365" s="279" t="str">
        <f>IF(Budget!$S38="", "", ROUND(Budget!$S38,0))</f>
        <v/>
      </c>
      <c r="C365" s="278" t="s">
        <v>716</v>
      </c>
      <c r="D365" s="278" t="str">
        <f>IF(Budget!$A38="","",VLOOKUP(Budget!$A38,OmkostningsParticipantsTabel[#Data],2,FALSE))</f>
        <v/>
      </c>
      <c r="E365" s="278" t="s">
        <v>724</v>
      </c>
      <c r="F365" s="278" t="str">
        <f>IF(Budget!$R38="", "", ROUND(Budget!$R38,0))</f>
        <v/>
      </c>
      <c r="H365" s="277"/>
      <c r="I365" s="277"/>
      <c r="J365" s="278">
        <f>IFERROR(Budget!$X38,"")</f>
        <v>0</v>
      </c>
      <c r="M365" s="278" t="b">
        <v>1</v>
      </c>
      <c r="N365" s="278" t="str">
        <f>IFERROR(TRIM(Budget!$E38),"")</f>
        <v/>
      </c>
      <c r="O365" s="278" t="str">
        <f>IFERROR(TRIM(Budget!$F38),"")</f>
        <v/>
      </c>
      <c r="P365" s="278" t="str">
        <f>IFERROR(IF(Budget!$AL38 &gt; 0,CONCATENATE(Budget!$A38," ",Budget!$AL38),""),"")</f>
        <v/>
      </c>
    </row>
    <row r="366" spans="1:16" x14ac:dyDescent="0.25">
      <c r="A366" s="278" t="str">
        <f>IF(Budget!$C39="", "", INDEX(Partnere!$A$2:$A$12, MATCH(Budget!$C39, Partnere!$F$2:$F$12, 0)))</f>
        <v/>
      </c>
      <c r="B366" s="279" t="str">
        <f>IF(Budget!$S39="", "", ROUND(Budget!$S39,0))</f>
        <v/>
      </c>
      <c r="C366" s="278" t="s">
        <v>716</v>
      </c>
      <c r="D366" s="278" t="str">
        <f>IF(Budget!$A39="","",VLOOKUP(Budget!$A39,OmkostningsParticipantsTabel[#Data],2,FALSE))</f>
        <v/>
      </c>
      <c r="E366" s="278" t="s">
        <v>724</v>
      </c>
      <c r="F366" s="278" t="str">
        <f>IF(Budget!$R39="", "", ROUND(Budget!$R39,0))</f>
        <v/>
      </c>
      <c r="H366" s="277"/>
      <c r="I366" s="277"/>
      <c r="J366" s="278">
        <f>IFERROR(Budget!$X39,"")</f>
        <v>0</v>
      </c>
      <c r="M366" s="278" t="b">
        <v>1</v>
      </c>
      <c r="N366" s="278" t="str">
        <f>IFERROR(TRIM(Budget!$E39),"")</f>
        <v/>
      </c>
      <c r="O366" s="278" t="str">
        <f>IFERROR(TRIM(Budget!$F39),"")</f>
        <v/>
      </c>
      <c r="P366" s="278" t="str">
        <f>IFERROR(IF(Budget!$AL39 &gt; 0,CONCATENATE(Budget!$A39," ",Budget!$AL39),""),"")</f>
        <v/>
      </c>
    </row>
    <row r="367" spans="1:16" x14ac:dyDescent="0.25">
      <c r="A367" s="278" t="str">
        <f>IF(Budget!$C40="", "", INDEX(Partnere!$A$2:$A$12, MATCH(Budget!$C40, Partnere!$F$2:$F$12, 0)))</f>
        <v/>
      </c>
      <c r="B367" s="279" t="str">
        <f>IF(Budget!$S40="", "", ROUND(Budget!$S40,0))</f>
        <v/>
      </c>
      <c r="C367" s="278" t="s">
        <v>716</v>
      </c>
      <c r="D367" s="278" t="str">
        <f>IF(Budget!$A40="","",VLOOKUP(Budget!$A40,OmkostningsParticipantsTabel[#Data],2,FALSE))</f>
        <v/>
      </c>
      <c r="E367" s="278" t="s">
        <v>724</v>
      </c>
      <c r="F367" s="278" t="str">
        <f>IF(Budget!$R40="", "", ROUND(Budget!$R40,0))</f>
        <v/>
      </c>
      <c r="H367" s="277"/>
      <c r="I367" s="277"/>
      <c r="J367" s="278">
        <f>IFERROR(Budget!$X40,"")</f>
        <v>0</v>
      </c>
      <c r="M367" s="278" t="b">
        <v>1</v>
      </c>
      <c r="N367" s="278" t="str">
        <f>IFERROR(TRIM(Budget!$E40),"")</f>
        <v/>
      </c>
      <c r="O367" s="278" t="str">
        <f>IFERROR(TRIM(Budget!$F40),"")</f>
        <v/>
      </c>
      <c r="P367" s="278" t="str">
        <f>IFERROR(IF(Budget!$AL40 &gt; 0,CONCATENATE(Budget!$A40," ",Budget!$AL40),""),"")</f>
        <v/>
      </c>
    </row>
    <row r="368" spans="1:16" x14ac:dyDescent="0.25">
      <c r="A368" s="278" t="str">
        <f>IF(Budget!$C26="", "", INDEX(Partnere!$A$2:$A$12, MATCH(Budget!$C26, Partnere!$F$2:$F$12, 0)))</f>
        <v/>
      </c>
      <c r="B368" s="279" t="str">
        <f>IF(Budget!$U26="", "", ROUND(Budget!$U26,0))</f>
        <v/>
      </c>
      <c r="C368" s="281" t="s">
        <v>717</v>
      </c>
      <c r="D368" s="278" t="s">
        <v>58</v>
      </c>
      <c r="E368" s="278" t="s">
        <v>724</v>
      </c>
      <c r="F368" s="278" t="str">
        <f>IF(Budget!$T26="", "", ROUND(Budget!$T26,0))</f>
        <v/>
      </c>
      <c r="H368" s="277"/>
      <c r="I368" s="277"/>
      <c r="J368" s="278">
        <f>IFERROR(Budget!$X26,"")</f>
        <v>0</v>
      </c>
      <c r="M368" s="278" t="b">
        <v>1</v>
      </c>
      <c r="N368" s="278" t="str">
        <f>IFERROR(TRIM(Budget!$E26),"")</f>
        <v/>
      </c>
      <c r="O368" s="278" t="str">
        <f>IFERROR(TRIM(Budget!$F26),"")</f>
        <v/>
      </c>
      <c r="P368" s="278" t="str">
        <f>IFERROR(Budget!$A26,"")</f>
        <v>Applicant</v>
      </c>
    </row>
    <row r="369" spans="1:16" x14ac:dyDescent="0.25">
      <c r="A369" s="278" t="str">
        <f>IF(Budget!$C27="", "", INDEX(Partnere!$A$2:$A$12, MATCH(Budget!$C27, Partnere!$F$2:$F$12, 0)))</f>
        <v/>
      </c>
      <c r="B369" s="279" t="str">
        <f>IF(Budget!$U27="", "", ROUND(Budget!$U27,0))</f>
        <v/>
      </c>
      <c r="C369" s="281" t="s">
        <v>717</v>
      </c>
      <c r="D369" s="278" t="str">
        <f>IF(Budget!$A27="","",VLOOKUP(Budget!$A27,OmkostningsParticipantsTabel[#Data],2,FALSE))</f>
        <v/>
      </c>
      <c r="E369" s="278" t="s">
        <v>724</v>
      </c>
      <c r="F369" s="278" t="str">
        <f>IF(Budget!$T27="", "", ROUND(Budget!$T27,0))</f>
        <v/>
      </c>
      <c r="H369" s="277"/>
      <c r="I369" s="277"/>
      <c r="J369" s="278">
        <f>IFERROR(Budget!$X27,"")</f>
        <v>0</v>
      </c>
      <c r="M369" s="278" t="b">
        <v>1</v>
      </c>
      <c r="N369" s="278" t="str">
        <f>IFERROR(TRIM(Budget!$E27),"")</f>
        <v/>
      </c>
      <c r="O369" s="278" t="str">
        <f>IFERROR(TRIM(Budget!$F27),"")</f>
        <v/>
      </c>
      <c r="P369" s="278" t="str">
        <f>IFERROR(IF(Budget!$AL27 &gt; 0,CONCATENATE(Budget!$A27," ",Budget!$AL27),""),"")</f>
        <v/>
      </c>
    </row>
    <row r="370" spans="1:16" x14ac:dyDescent="0.25">
      <c r="A370" s="278" t="str">
        <f>IF(Budget!$C28="", "", INDEX(Partnere!$A$2:$A$12, MATCH(Budget!$C28, Partnere!$F$2:$F$12, 0)))</f>
        <v/>
      </c>
      <c r="B370" s="279" t="str">
        <f>IF(Budget!$U28="", "", ROUND(Budget!$U28,0))</f>
        <v/>
      </c>
      <c r="C370" s="281" t="s">
        <v>717</v>
      </c>
      <c r="D370" s="278" t="str">
        <f>IF(Budget!$A28="","",VLOOKUP(Budget!$A28,OmkostningsParticipantsTabel[#Data],2,FALSE))</f>
        <v/>
      </c>
      <c r="E370" s="278" t="s">
        <v>724</v>
      </c>
      <c r="F370" s="278" t="str">
        <f>IF(Budget!$T28="", "", ROUND(Budget!$T28,0))</f>
        <v/>
      </c>
      <c r="H370" s="277"/>
      <c r="I370" s="277"/>
      <c r="J370" s="278">
        <f>IFERROR(Budget!$X28,"")</f>
        <v>0</v>
      </c>
      <c r="M370" s="278" t="b">
        <v>1</v>
      </c>
      <c r="N370" s="278" t="str">
        <f>IFERROR(TRIM(Budget!$E28),"")</f>
        <v/>
      </c>
      <c r="O370" s="278" t="str">
        <f>IFERROR(TRIM(Budget!$F28),"")</f>
        <v/>
      </c>
      <c r="P370" s="278" t="str">
        <f>IFERROR(IF(Budget!$AL28 &gt; 0,CONCATENATE(Budget!$A28," ",Budget!$AL28),""),"")</f>
        <v/>
      </c>
    </row>
    <row r="371" spans="1:16" x14ac:dyDescent="0.25">
      <c r="A371" s="278" t="str">
        <f>IF(Budget!$C29="", "", INDEX(Partnere!$A$2:$A$12, MATCH(Budget!$C29, Partnere!$F$2:$F$12, 0)))</f>
        <v/>
      </c>
      <c r="B371" s="279" t="str">
        <f>IF(Budget!$U29="", "", ROUND(Budget!$U29,0))</f>
        <v/>
      </c>
      <c r="C371" s="281" t="s">
        <v>717</v>
      </c>
      <c r="D371" s="278" t="str">
        <f>IF(Budget!$A29="","",VLOOKUP(Budget!$A29,OmkostningsParticipantsTabel[#Data],2,FALSE))</f>
        <v/>
      </c>
      <c r="E371" s="278" t="s">
        <v>724</v>
      </c>
      <c r="F371" s="278" t="str">
        <f>IF(Budget!$T29="", "", ROUND(Budget!$T29,0))</f>
        <v/>
      </c>
      <c r="H371" s="277"/>
      <c r="I371" s="277"/>
      <c r="J371" s="278">
        <f>IFERROR(Budget!$X29,"")</f>
        <v>0</v>
      </c>
      <c r="M371" s="278" t="b">
        <v>1</v>
      </c>
      <c r="N371" s="278" t="str">
        <f>IFERROR(TRIM(Budget!$E29),"")</f>
        <v/>
      </c>
      <c r="O371" s="278" t="str">
        <f>IFERROR(TRIM(Budget!$F29),"")</f>
        <v/>
      </c>
      <c r="P371" s="278" t="str">
        <f>IFERROR(IF(Budget!$AL29 &gt; 0,CONCATENATE(Budget!$A29," ",Budget!$AL29),""),"")</f>
        <v/>
      </c>
    </row>
    <row r="372" spans="1:16" x14ac:dyDescent="0.25">
      <c r="A372" s="278" t="str">
        <f>IF(Budget!$C30="", "", INDEX(Partnere!$A$2:$A$12, MATCH(Budget!$C30, Partnere!$F$2:$F$12, 0)))</f>
        <v/>
      </c>
      <c r="B372" s="279" t="str">
        <f>IF(Budget!$U30="", "", ROUND(Budget!$U30,0))</f>
        <v/>
      </c>
      <c r="C372" s="281" t="s">
        <v>717</v>
      </c>
      <c r="D372" s="278" t="str">
        <f>IF(Budget!$A30="","",VLOOKUP(Budget!$A30,OmkostningsParticipantsTabel[#Data],2,FALSE))</f>
        <v/>
      </c>
      <c r="E372" s="278" t="s">
        <v>724</v>
      </c>
      <c r="F372" s="278" t="str">
        <f>IF(Budget!$T30="", "", ROUND(Budget!$T30,0))</f>
        <v/>
      </c>
      <c r="H372" s="277"/>
      <c r="I372" s="277"/>
      <c r="J372" s="278">
        <f>IFERROR(Budget!$X30,"")</f>
        <v>0</v>
      </c>
      <c r="M372" s="278" t="b">
        <v>1</v>
      </c>
      <c r="N372" s="278" t="str">
        <f>IFERROR(TRIM(Budget!$E30),"")</f>
        <v/>
      </c>
      <c r="O372" s="278" t="str">
        <f>IFERROR(TRIM(Budget!$F30),"")</f>
        <v/>
      </c>
      <c r="P372" s="278" t="str">
        <f>IFERROR(IF(Budget!$AL30 &gt; 0,CONCATENATE(Budget!$A30," ",Budget!$AL30),""),"")</f>
        <v/>
      </c>
    </row>
    <row r="373" spans="1:16" x14ac:dyDescent="0.25">
      <c r="A373" s="278" t="str">
        <f>IF(Budget!$C31="", "", INDEX(Partnere!$A$2:$A$12, MATCH(Budget!$C31, Partnere!$F$2:$F$12, 0)))</f>
        <v/>
      </c>
      <c r="B373" s="279" t="str">
        <f>IF(Budget!$U31="", "", ROUND(Budget!$U31,0))</f>
        <v/>
      </c>
      <c r="C373" s="281" t="s">
        <v>717</v>
      </c>
      <c r="D373" s="278" t="str">
        <f>IF(Budget!$A31="","",VLOOKUP(Budget!$A31,OmkostningsParticipantsTabel[#Data],2,FALSE))</f>
        <v/>
      </c>
      <c r="E373" s="278" t="s">
        <v>724</v>
      </c>
      <c r="F373" s="278" t="str">
        <f>IF(Budget!$T31="", "", ROUND(Budget!$T31,0))</f>
        <v/>
      </c>
      <c r="H373" s="277"/>
      <c r="I373" s="277"/>
      <c r="J373" s="278">
        <f>IFERROR(Budget!$X31,"")</f>
        <v>0</v>
      </c>
      <c r="M373" s="278" t="b">
        <v>1</v>
      </c>
      <c r="N373" s="278" t="str">
        <f>IFERROR(TRIM(Budget!$E31),"")</f>
        <v/>
      </c>
      <c r="O373" s="278" t="str">
        <f>IFERROR(TRIM(Budget!$F31),"")</f>
        <v/>
      </c>
      <c r="P373" s="278" t="str">
        <f>IFERROR(IF(Budget!$AL31 &gt; 0,CONCATENATE(Budget!$A31," ",Budget!$AL31),""),"")</f>
        <v/>
      </c>
    </row>
    <row r="374" spans="1:16" x14ac:dyDescent="0.25">
      <c r="A374" s="278" t="str">
        <f>IF(Budget!$C32="", "", INDEX(Partnere!$A$2:$A$12, MATCH(Budget!$C32, Partnere!$F$2:$F$12, 0)))</f>
        <v/>
      </c>
      <c r="B374" s="279" t="str">
        <f>IF(Budget!$U32="", "", ROUND(Budget!$U32,0))</f>
        <v/>
      </c>
      <c r="C374" s="281" t="s">
        <v>717</v>
      </c>
      <c r="D374" s="278" t="str">
        <f>IF(Budget!$A32="","",VLOOKUP(Budget!$A32,OmkostningsParticipantsTabel[#Data],2,FALSE))</f>
        <v/>
      </c>
      <c r="E374" s="278" t="s">
        <v>724</v>
      </c>
      <c r="F374" s="278" t="str">
        <f>IF(Budget!$T32="", "", ROUND(Budget!$T32,0))</f>
        <v/>
      </c>
      <c r="H374" s="277"/>
      <c r="I374" s="277"/>
      <c r="J374" s="278">
        <f>IFERROR(Budget!$X32,"")</f>
        <v>0</v>
      </c>
      <c r="M374" s="278" t="b">
        <v>1</v>
      </c>
      <c r="N374" s="278" t="str">
        <f>IFERROR(TRIM(Budget!$E32),"")</f>
        <v/>
      </c>
      <c r="O374" s="278" t="str">
        <f>IFERROR(TRIM(Budget!$F32),"")</f>
        <v/>
      </c>
      <c r="P374" s="278" t="str">
        <f>IFERROR(IF(Budget!$AL32 &gt; 0,CONCATENATE(Budget!$A32," ",Budget!$AL32),""),"")</f>
        <v/>
      </c>
    </row>
    <row r="375" spans="1:16" x14ac:dyDescent="0.25">
      <c r="A375" s="278" t="str">
        <f>IF(Budget!$C33="", "", INDEX(Partnere!$A$2:$A$12, MATCH(Budget!$C33, Partnere!$F$2:$F$12, 0)))</f>
        <v/>
      </c>
      <c r="B375" s="279" t="str">
        <f>IF(Budget!$U33="", "", ROUND(Budget!$U33,0))</f>
        <v/>
      </c>
      <c r="C375" s="281" t="s">
        <v>717</v>
      </c>
      <c r="D375" s="278" t="str">
        <f>IF(Budget!$A33="","",VLOOKUP(Budget!$A33,OmkostningsParticipantsTabel[#Data],2,FALSE))</f>
        <v/>
      </c>
      <c r="E375" s="278" t="s">
        <v>724</v>
      </c>
      <c r="F375" s="278" t="str">
        <f>IF(Budget!$T33="", "", ROUND(Budget!$T33,0))</f>
        <v/>
      </c>
      <c r="H375" s="277"/>
      <c r="I375" s="277"/>
      <c r="J375" s="278">
        <f>IFERROR(Budget!$X33,"")</f>
        <v>0</v>
      </c>
      <c r="M375" s="278" t="b">
        <v>1</v>
      </c>
      <c r="N375" s="278" t="str">
        <f>IFERROR(TRIM(Budget!$E33),"")</f>
        <v/>
      </c>
      <c r="O375" s="278" t="str">
        <f>IFERROR(TRIM(Budget!$F33),"")</f>
        <v/>
      </c>
      <c r="P375" s="278" t="str">
        <f>IFERROR(IF(Budget!$AL33 &gt; 0,CONCATENATE(Budget!$A33," ",Budget!$AL33),""),"")</f>
        <v/>
      </c>
    </row>
    <row r="376" spans="1:16" x14ac:dyDescent="0.25">
      <c r="A376" s="278" t="str">
        <f>IF(Budget!$C34="", "", INDEX(Partnere!$A$2:$A$12, MATCH(Budget!$C34, Partnere!$F$2:$F$12, 0)))</f>
        <v/>
      </c>
      <c r="B376" s="279" t="str">
        <f>IF(Budget!$U34="", "", ROUND(Budget!$U34,0))</f>
        <v/>
      </c>
      <c r="C376" s="281" t="s">
        <v>717</v>
      </c>
      <c r="D376" s="278" t="str">
        <f>IF(Budget!$A34="","",VLOOKUP(Budget!$A34,OmkostningsParticipantsTabel[#Data],2,FALSE))</f>
        <v/>
      </c>
      <c r="E376" s="278" t="s">
        <v>724</v>
      </c>
      <c r="F376" s="278" t="str">
        <f>IF(Budget!$T34="", "", ROUND(Budget!$T34,0))</f>
        <v/>
      </c>
      <c r="H376" s="277"/>
      <c r="I376" s="277"/>
      <c r="J376" s="278">
        <f>IFERROR(Budget!$X34,"")</f>
        <v>0</v>
      </c>
      <c r="M376" s="278" t="b">
        <v>1</v>
      </c>
      <c r="N376" s="278" t="str">
        <f>IFERROR(TRIM(Budget!$E34),"")</f>
        <v/>
      </c>
      <c r="O376" s="278" t="str">
        <f>IFERROR(TRIM(Budget!$F34),"")</f>
        <v/>
      </c>
      <c r="P376" s="278" t="str">
        <f>IFERROR(IF(Budget!$AL34 &gt; 0,CONCATENATE(Budget!$A34," ",Budget!$AL34),""),"")</f>
        <v/>
      </c>
    </row>
    <row r="377" spans="1:16" x14ac:dyDescent="0.25">
      <c r="A377" s="278" t="str">
        <f>IF(Budget!$C35="", "", INDEX(Partnere!$A$2:$A$12, MATCH(Budget!$C35, Partnere!$F$2:$F$12, 0)))</f>
        <v/>
      </c>
      <c r="B377" s="279" t="str">
        <f>IF(Budget!$U35="", "", ROUND(Budget!$U35,0))</f>
        <v/>
      </c>
      <c r="C377" s="281" t="s">
        <v>717</v>
      </c>
      <c r="D377" s="278" t="str">
        <f>IF(Budget!$A35="","",VLOOKUP(Budget!$A35,OmkostningsParticipantsTabel[#Data],2,FALSE))</f>
        <v/>
      </c>
      <c r="E377" s="278" t="s">
        <v>724</v>
      </c>
      <c r="F377" s="278" t="str">
        <f>IF(Budget!$T35="", "", ROUND(Budget!$T35,0))</f>
        <v/>
      </c>
      <c r="H377" s="277"/>
      <c r="I377" s="277"/>
      <c r="J377" s="278">
        <f>IFERROR(Budget!$X35,"")</f>
        <v>0</v>
      </c>
      <c r="M377" s="278" t="b">
        <v>1</v>
      </c>
      <c r="N377" s="278" t="str">
        <f>IFERROR(TRIM(Budget!$E35),"")</f>
        <v/>
      </c>
      <c r="O377" s="278" t="str">
        <f>IFERROR(TRIM(Budget!$F35),"")</f>
        <v/>
      </c>
      <c r="P377" s="278" t="str">
        <f>IFERROR(IF(Budget!$AL35 &gt; 0,CONCATENATE(Budget!$A35," ",Budget!$AL35),""),"")</f>
        <v/>
      </c>
    </row>
    <row r="378" spans="1:16" x14ac:dyDescent="0.25">
      <c r="A378" s="278" t="str">
        <f>IF(Budget!$C36="", "", INDEX(Partnere!$A$2:$A$12, MATCH(Budget!$C36, Partnere!$F$2:$F$12, 0)))</f>
        <v/>
      </c>
      <c r="B378" s="279" t="str">
        <f>IF(Budget!$U36="", "", ROUND(Budget!$U36,0))</f>
        <v/>
      </c>
      <c r="C378" s="281" t="s">
        <v>717</v>
      </c>
      <c r="D378" s="278" t="str">
        <f>IF(Budget!$A36="","",VLOOKUP(Budget!$A36,OmkostningsParticipantsTabel[#Data],2,FALSE))</f>
        <v/>
      </c>
      <c r="E378" s="278" t="s">
        <v>724</v>
      </c>
      <c r="F378" s="278" t="str">
        <f>IF(Budget!$T36="", "", ROUND(Budget!$T36,0))</f>
        <v/>
      </c>
      <c r="H378" s="277"/>
      <c r="I378" s="277"/>
      <c r="J378" s="278">
        <f>IFERROR(Budget!$X36,"")</f>
        <v>0</v>
      </c>
      <c r="M378" s="278" t="b">
        <v>1</v>
      </c>
      <c r="N378" s="278" t="str">
        <f>IFERROR(TRIM(Budget!$E36),"")</f>
        <v/>
      </c>
      <c r="O378" s="278" t="str">
        <f>IFERROR(TRIM(Budget!$F36),"")</f>
        <v/>
      </c>
      <c r="P378" s="278" t="str">
        <f>IFERROR(IF(Budget!$AL36 &gt; 0,CONCATENATE(Budget!$A36," ",Budget!$AL36),""),"")</f>
        <v/>
      </c>
    </row>
    <row r="379" spans="1:16" x14ac:dyDescent="0.25">
      <c r="A379" s="278" t="str">
        <f>IF(Budget!$C37="", "", INDEX(Partnere!$A$2:$A$12, MATCH(Budget!$C37, Partnere!$F$2:$F$12, 0)))</f>
        <v/>
      </c>
      <c r="B379" s="279" t="str">
        <f>IF(Budget!$U37="", "", ROUND(Budget!$U37,0))</f>
        <v/>
      </c>
      <c r="C379" s="281" t="s">
        <v>717</v>
      </c>
      <c r="D379" s="278" t="str">
        <f>IF(Budget!$A37="","",VLOOKUP(Budget!$A37,OmkostningsParticipantsTabel[#Data],2,FALSE))</f>
        <v/>
      </c>
      <c r="E379" s="278" t="s">
        <v>724</v>
      </c>
      <c r="F379" s="278" t="str">
        <f>IF(Budget!$T37="", "", ROUND(Budget!$T37,0))</f>
        <v/>
      </c>
      <c r="H379" s="277"/>
      <c r="I379" s="277"/>
      <c r="J379" s="278">
        <f>IFERROR(Budget!$X37,"")</f>
        <v>0</v>
      </c>
      <c r="M379" s="278" t="b">
        <v>1</v>
      </c>
      <c r="N379" s="278" t="str">
        <f>IFERROR(TRIM(Budget!$E37),"")</f>
        <v/>
      </c>
      <c r="O379" s="278" t="str">
        <f>IFERROR(TRIM(Budget!$F37),"")</f>
        <v/>
      </c>
      <c r="P379" s="278" t="str">
        <f>IFERROR(IF(Budget!$AL37 &gt; 0,CONCATENATE(Budget!$A37," ",Budget!$AL37),""),"")</f>
        <v/>
      </c>
    </row>
    <row r="380" spans="1:16" x14ac:dyDescent="0.25">
      <c r="A380" s="278" t="str">
        <f>IF(Budget!$C38="", "", INDEX(Partnere!$A$2:$A$12, MATCH(Budget!$C38, Partnere!$F$2:$F$12, 0)))</f>
        <v/>
      </c>
      <c r="B380" s="279" t="str">
        <f>IF(Budget!$U38="", "", ROUND(Budget!$U38,0))</f>
        <v/>
      </c>
      <c r="C380" s="281" t="s">
        <v>717</v>
      </c>
      <c r="D380" s="278" t="str">
        <f>IF(Budget!$A38="","",VLOOKUP(Budget!$A38,OmkostningsParticipantsTabel[#Data],2,FALSE))</f>
        <v/>
      </c>
      <c r="E380" s="278" t="s">
        <v>724</v>
      </c>
      <c r="F380" s="278" t="str">
        <f>IF(Budget!$T38="", "", ROUND(Budget!$T38,0))</f>
        <v/>
      </c>
      <c r="H380" s="277"/>
      <c r="I380" s="277"/>
      <c r="J380" s="278">
        <f>IFERROR(Budget!$X38,"")</f>
        <v>0</v>
      </c>
      <c r="M380" s="278" t="b">
        <v>1</v>
      </c>
      <c r="N380" s="278" t="str">
        <f>IFERROR(TRIM(Budget!$E38),"")</f>
        <v/>
      </c>
      <c r="O380" s="278" t="str">
        <f>IFERROR(TRIM(Budget!$F38),"")</f>
        <v/>
      </c>
      <c r="P380" s="278" t="str">
        <f>IFERROR(IF(Budget!$AL38 &gt; 0,CONCATENATE(Budget!$A38," ",Budget!$AL38),""),"")</f>
        <v/>
      </c>
    </row>
    <row r="381" spans="1:16" x14ac:dyDescent="0.25">
      <c r="A381" s="278" t="str">
        <f>IF(Budget!$C39="", "", INDEX(Partnere!$A$2:$A$12, MATCH(Budget!$C39, Partnere!$F$2:$F$12, 0)))</f>
        <v/>
      </c>
      <c r="B381" s="279" t="str">
        <f>IF(Budget!$U39="", "", ROUND(Budget!$U39,0))</f>
        <v/>
      </c>
      <c r="C381" s="281" t="s">
        <v>717</v>
      </c>
      <c r="D381" s="278" t="str">
        <f>IF(Budget!$A39="","",VLOOKUP(Budget!$A39,OmkostningsParticipantsTabel[#Data],2,FALSE))</f>
        <v/>
      </c>
      <c r="E381" s="278" t="s">
        <v>724</v>
      </c>
      <c r="F381" s="278" t="str">
        <f>IF(Budget!$T39="", "", ROUND(Budget!$T39,0))</f>
        <v/>
      </c>
      <c r="H381" s="277"/>
      <c r="I381" s="277"/>
      <c r="J381" s="278">
        <f>IFERROR(Budget!$X39,"")</f>
        <v>0</v>
      </c>
      <c r="M381" s="278" t="b">
        <v>1</v>
      </c>
      <c r="N381" s="278" t="str">
        <f>IFERROR(TRIM(Budget!$E39),"")</f>
        <v/>
      </c>
      <c r="O381" s="278" t="str">
        <f>IFERROR(TRIM(Budget!$F39),"")</f>
        <v/>
      </c>
      <c r="P381" s="278" t="str">
        <f>IFERROR(IF(Budget!$AL39 &gt; 0,CONCATENATE(Budget!$A39," ",Budget!$AL39),""),"")</f>
        <v/>
      </c>
    </row>
    <row r="382" spans="1:16" x14ac:dyDescent="0.25">
      <c r="A382" s="278" t="str">
        <f>IF(Budget!$C40="", "", INDEX(Partnere!$A$2:$A$12, MATCH(Budget!$C40, Partnere!$F$2:$F$12, 0)))</f>
        <v/>
      </c>
      <c r="B382" s="279" t="str">
        <f>IF(Budget!$U40="", "", ROUND(Budget!$U40,0))</f>
        <v/>
      </c>
      <c r="C382" s="281" t="s">
        <v>717</v>
      </c>
      <c r="D382" s="278" t="str">
        <f>IF(Budget!$A40="","",VLOOKUP(Budget!$A40,OmkostningsParticipantsTabel[#Data],2,FALSE))</f>
        <v/>
      </c>
      <c r="E382" s="278" t="s">
        <v>724</v>
      </c>
      <c r="F382" s="278" t="str">
        <f>IF(Budget!$T40="", "", ROUND(Budget!$T40,0))</f>
        <v/>
      </c>
      <c r="H382" s="277"/>
      <c r="I382" s="277"/>
      <c r="J382" s="278">
        <f>IFERROR(Budget!$X40,"")</f>
        <v>0</v>
      </c>
      <c r="M382" s="278" t="b">
        <v>1</v>
      </c>
      <c r="N382" s="278" t="str">
        <f>IFERROR(TRIM(Budget!$E40),"")</f>
        <v/>
      </c>
      <c r="O382" s="278" t="str">
        <f>IFERROR(TRIM(Budget!$F40),"")</f>
        <v/>
      </c>
      <c r="P382" s="278" t="str">
        <f>IFERROR(IF(Budget!$AL40 &gt; 0,CONCATENATE(Budget!$A40," ",Budget!$AL40),""),"")</f>
        <v/>
      </c>
    </row>
    <row r="383" spans="1:16" x14ac:dyDescent="0.25">
      <c r="A383" s="278" t="str">
        <f>IF(Budget!$C54="", "", INDEX(Partnere!$A$2:$A$12, MATCH(Budget!$C54, Partnere!$F$2:$F$12, 0)))</f>
        <v/>
      </c>
      <c r="B383" s="279" t="str">
        <f>IF(Budget!$M54="", "", ROUND(Budget!$M54,0))</f>
        <v/>
      </c>
      <c r="C383" s="278" t="s">
        <v>715</v>
      </c>
      <c r="D383" s="278" t="str">
        <f>IF(Budget!$A54="","",VLOOKUP(Budget!$A54,OmkostningsExpenseTabel[#Data],2,FALSE))</f>
        <v/>
      </c>
      <c r="E383" s="278" t="s">
        <v>725</v>
      </c>
      <c r="H383" s="277"/>
      <c r="I383" s="277"/>
      <c r="J383" s="278">
        <f>IFERROR(Budget!$Q54,"")</f>
        <v>0</v>
      </c>
      <c r="M383" s="278" t="b">
        <v>1</v>
      </c>
    </row>
    <row r="384" spans="1:16" x14ac:dyDescent="0.25">
      <c r="A384" s="278" t="str">
        <f>IF(Budget!$C55="", "", INDEX(Partnere!$A$2:$A$12, MATCH(Budget!$C55, Partnere!$F$2:$F$12, 0)))</f>
        <v/>
      </c>
      <c r="B384" s="279" t="str">
        <f>IF(Budget!$M55="", "", ROUND(Budget!$M55,0))</f>
        <v/>
      </c>
      <c r="C384" s="278" t="s">
        <v>715</v>
      </c>
      <c r="D384" s="278" t="str">
        <f>IF(Budget!$A55="","",VLOOKUP(Budget!$A55,OmkostningsExpenseTabel[#Data],2,FALSE))</f>
        <v/>
      </c>
      <c r="E384" s="278" t="s">
        <v>725</v>
      </c>
      <c r="H384" s="277"/>
      <c r="I384" s="277"/>
      <c r="J384" s="278">
        <f>IFERROR(Budget!$Q55,"")</f>
        <v>0</v>
      </c>
      <c r="M384" s="278" t="b">
        <v>1</v>
      </c>
    </row>
    <row r="385" spans="1:13" x14ac:dyDescent="0.25">
      <c r="A385" s="278" t="str">
        <f>IF(Budget!$C56="", "", INDEX(Partnere!$A$2:$A$12, MATCH(Budget!$C56, Partnere!$F$2:$F$12, 0)))</f>
        <v/>
      </c>
      <c r="B385" s="279" t="str">
        <f>IF(Budget!$M56="", "", ROUND(Budget!$M56,0))</f>
        <v/>
      </c>
      <c r="C385" s="278" t="s">
        <v>715</v>
      </c>
      <c r="D385" s="278" t="str">
        <f>IF(Budget!$A56="","",VLOOKUP(Budget!$A56,OmkostningsExpenseTabel[#Data],2,FALSE))</f>
        <v/>
      </c>
      <c r="E385" s="278" t="s">
        <v>725</v>
      </c>
      <c r="H385" s="277"/>
      <c r="I385" s="277"/>
      <c r="J385" s="278">
        <f>IFERROR(Budget!$Q56,"")</f>
        <v>0</v>
      </c>
      <c r="M385" s="278" t="b">
        <v>1</v>
      </c>
    </row>
    <row r="386" spans="1:13" x14ac:dyDescent="0.25">
      <c r="A386" s="278" t="str">
        <f>IF(Budget!$C57="", "", INDEX(Partnere!$A$2:$A$12, MATCH(Budget!$C57, Partnere!$F$2:$F$12, 0)))</f>
        <v/>
      </c>
      <c r="B386" s="279" t="str">
        <f>IF(Budget!$M57="", "", ROUND(Budget!$M57,0))</f>
        <v/>
      </c>
      <c r="C386" s="278" t="s">
        <v>715</v>
      </c>
      <c r="D386" s="278" t="str">
        <f>IF(Budget!$A57="","",VLOOKUP(Budget!$A57,OmkostningsExpenseTabel[#Data],2,FALSE))</f>
        <v/>
      </c>
      <c r="E386" s="278" t="s">
        <v>725</v>
      </c>
      <c r="H386" s="277"/>
      <c r="I386" s="277"/>
      <c r="J386" s="278">
        <f>IFERROR(Budget!$Q57,"")</f>
        <v>0</v>
      </c>
      <c r="M386" s="278" t="b">
        <v>1</v>
      </c>
    </row>
    <row r="387" spans="1:13" x14ac:dyDescent="0.25">
      <c r="A387" s="278" t="str">
        <f>IF(Budget!$C58="", "", INDEX(Partnere!$A$2:$A$12, MATCH(Budget!$C58, Partnere!$F$2:$F$12, 0)))</f>
        <v/>
      </c>
      <c r="B387" s="279" t="str">
        <f>IF(Budget!$M58="", "", ROUND(Budget!$M58,0))</f>
        <v/>
      </c>
      <c r="C387" s="278" t="s">
        <v>715</v>
      </c>
      <c r="D387" s="278" t="str">
        <f>IF(Budget!$A58="","",VLOOKUP(Budget!$A58,OmkostningsExpenseTabel[#Data],2,FALSE))</f>
        <v/>
      </c>
      <c r="E387" s="278" t="s">
        <v>725</v>
      </c>
      <c r="H387" s="277"/>
      <c r="I387" s="277"/>
      <c r="J387" s="278">
        <f>IFERROR(Budget!$Q58,"")</f>
        <v>0</v>
      </c>
      <c r="M387" s="278" t="b">
        <v>1</v>
      </c>
    </row>
    <row r="388" spans="1:13" x14ac:dyDescent="0.25">
      <c r="A388" s="278" t="str">
        <f>IF(Budget!$C59="", "", INDEX(Partnere!$A$2:$A$12, MATCH(Budget!$C59, Partnere!$F$2:$F$12, 0)))</f>
        <v/>
      </c>
      <c r="B388" s="279" t="str">
        <f>IF(Budget!$M59="", "", ROUND(Budget!$M59,0))</f>
        <v/>
      </c>
      <c r="C388" s="278" t="s">
        <v>715</v>
      </c>
      <c r="D388" s="278" t="str">
        <f>IF(Budget!$A59="","",VLOOKUP(Budget!$A59,OmkostningsExpenseTabel[#Data],2,FALSE))</f>
        <v/>
      </c>
      <c r="E388" s="278" t="s">
        <v>725</v>
      </c>
      <c r="H388" s="277"/>
      <c r="I388" s="277"/>
      <c r="J388" s="278">
        <f>IFERROR(Budget!$Q59,"")</f>
        <v>0</v>
      </c>
      <c r="M388" s="278" t="b">
        <v>1</v>
      </c>
    </row>
    <row r="389" spans="1:13" x14ac:dyDescent="0.25">
      <c r="A389" s="278" t="str">
        <f>IF(Budget!$C60="", "", INDEX(Partnere!$A$2:$A$12, MATCH(Budget!$C60, Partnere!$F$2:$F$12, 0)))</f>
        <v/>
      </c>
      <c r="B389" s="279" t="str">
        <f>IF(Budget!$M60="", "", ROUND(Budget!$M60,0))</f>
        <v/>
      </c>
      <c r="C389" s="278" t="s">
        <v>715</v>
      </c>
      <c r="D389" s="278" t="str">
        <f>IF(Budget!$A60="","",VLOOKUP(Budget!$A60,OmkostningsExpenseTabel[#Data],2,FALSE))</f>
        <v/>
      </c>
      <c r="E389" s="278" t="s">
        <v>725</v>
      </c>
      <c r="H389" s="277"/>
      <c r="I389" s="277"/>
      <c r="J389" s="278">
        <f>IFERROR(Budget!$Q60,"")</f>
        <v>0</v>
      </c>
      <c r="M389" s="278" t="b">
        <v>1</v>
      </c>
    </row>
    <row r="390" spans="1:13" x14ac:dyDescent="0.25">
      <c r="A390" s="278" t="str">
        <f>IF(Budget!$C61="", "", INDEX(Partnere!$A$2:$A$12, MATCH(Budget!$C61, Partnere!$F$2:$F$12, 0)))</f>
        <v/>
      </c>
      <c r="B390" s="279" t="str">
        <f>IF(Budget!$M61="", "", ROUND(Budget!$M61,0))</f>
        <v/>
      </c>
      <c r="C390" s="278" t="s">
        <v>715</v>
      </c>
      <c r="D390" s="278" t="str">
        <f>IF(Budget!$A61="","",VLOOKUP(Budget!$A61,OmkostningsExpenseTabel[#Data],2,FALSE))</f>
        <v/>
      </c>
      <c r="E390" s="278" t="s">
        <v>725</v>
      </c>
      <c r="H390" s="277"/>
      <c r="I390" s="277"/>
      <c r="J390" s="278">
        <f>IFERROR(Budget!$Q61,"")</f>
        <v>0</v>
      </c>
      <c r="M390" s="278" t="b">
        <v>1</v>
      </c>
    </row>
    <row r="391" spans="1:13" x14ac:dyDescent="0.25">
      <c r="A391" s="278" t="str">
        <f>IF(Budget!$C62="", "", INDEX(Partnere!$A$2:$A$12, MATCH(Budget!$C62, Partnere!$F$2:$F$12, 0)))</f>
        <v/>
      </c>
      <c r="B391" s="279" t="str">
        <f>IF(Budget!$M62="", "", ROUND(Budget!$M62,0))</f>
        <v/>
      </c>
      <c r="C391" s="278" t="s">
        <v>715</v>
      </c>
      <c r="D391" s="278" t="str">
        <f>IF(Budget!$A62="","",VLOOKUP(Budget!$A62,OmkostningsExpenseTabel[#Data],2,FALSE))</f>
        <v/>
      </c>
      <c r="E391" s="278" t="s">
        <v>725</v>
      </c>
      <c r="H391" s="277"/>
      <c r="I391" s="277"/>
      <c r="J391" s="278">
        <f>IFERROR(Budget!$Q62,"")</f>
        <v>0</v>
      </c>
      <c r="M391" s="278" t="b">
        <v>1</v>
      </c>
    </row>
    <row r="392" spans="1:13" x14ac:dyDescent="0.25">
      <c r="A392" s="278" t="str">
        <f>IF(Budget!$C63="", "", INDEX(Partnere!$A$2:$A$12, MATCH(Budget!$C63, Partnere!$F$2:$F$12, 0)))</f>
        <v/>
      </c>
      <c r="B392" s="279" t="str">
        <f>IF(Budget!$M63="", "", ROUND(Budget!$M63,0))</f>
        <v/>
      </c>
      <c r="C392" s="278" t="s">
        <v>715</v>
      </c>
      <c r="D392" s="278" t="str">
        <f>IF(Budget!$A63="","",VLOOKUP(Budget!$A63,OmkostningsExpenseTabel[#Data],2,FALSE))</f>
        <v/>
      </c>
      <c r="E392" s="278" t="s">
        <v>725</v>
      </c>
      <c r="H392" s="277"/>
      <c r="I392" s="277"/>
      <c r="J392" s="278">
        <f>IFERROR(Budget!$Q63,"")</f>
        <v>0</v>
      </c>
      <c r="M392" s="278" t="b">
        <v>1</v>
      </c>
    </row>
    <row r="393" spans="1:13" x14ac:dyDescent="0.25">
      <c r="A393" s="278" t="str">
        <f>IF(Budget!$C54="", "", INDEX(Partnere!$A$2:$A$12, MATCH(Budget!$C54, Partnere!$F$2:$F$12, 0)))</f>
        <v/>
      </c>
      <c r="B393" s="279" t="str">
        <f>IF(Budget!$N54="", "", ROUND(Budget!$N54,0))</f>
        <v/>
      </c>
      <c r="C393" s="278" t="s">
        <v>716</v>
      </c>
      <c r="D393" s="278" t="str">
        <f>IF(Budget!$A54="","",VLOOKUP(Budget!$A54,OmkostningsExpenseTabel[#Data],2,FALSE))</f>
        <v/>
      </c>
      <c r="E393" s="278" t="s">
        <v>725</v>
      </c>
      <c r="H393" s="277"/>
      <c r="I393" s="277"/>
      <c r="J393" s="278">
        <f>IFERROR(Budget!$Q54,"")</f>
        <v>0</v>
      </c>
      <c r="M393" s="278" t="b">
        <v>1</v>
      </c>
    </row>
    <row r="394" spans="1:13" x14ac:dyDescent="0.25">
      <c r="A394" s="278" t="str">
        <f>IF(Budget!$C55="", "", INDEX(Partnere!$A$2:$A$12, MATCH(Budget!$C55, Partnere!$F$2:$F$12, 0)))</f>
        <v/>
      </c>
      <c r="B394" s="279" t="str">
        <f>IF(Budget!$N55="", "", ROUND(Budget!$N55,0))</f>
        <v/>
      </c>
      <c r="C394" s="278" t="s">
        <v>716</v>
      </c>
      <c r="D394" s="278" t="str">
        <f>IF(Budget!$A55="","",VLOOKUP(Budget!$A55,OmkostningsExpenseTabel[#Data],2,FALSE))</f>
        <v/>
      </c>
      <c r="E394" s="278" t="s">
        <v>725</v>
      </c>
      <c r="H394" s="277"/>
      <c r="I394" s="277"/>
      <c r="J394" s="278">
        <f>IFERROR(Budget!$Q55,"")</f>
        <v>0</v>
      </c>
      <c r="M394" s="278" t="b">
        <v>1</v>
      </c>
    </row>
    <row r="395" spans="1:13" x14ac:dyDescent="0.25">
      <c r="A395" s="278" t="str">
        <f>IF(Budget!$C56="", "", INDEX(Partnere!$A$2:$A$12, MATCH(Budget!$C56, Partnere!$F$2:$F$12, 0)))</f>
        <v/>
      </c>
      <c r="B395" s="279" t="str">
        <f>IF(Budget!$N56="", "", ROUND(Budget!$N56,0))</f>
        <v/>
      </c>
      <c r="C395" s="278" t="s">
        <v>716</v>
      </c>
      <c r="D395" s="278" t="str">
        <f>IF(Budget!$A56="","",VLOOKUP(Budget!$A56,OmkostningsExpenseTabel[#Data],2,FALSE))</f>
        <v/>
      </c>
      <c r="E395" s="278" t="s">
        <v>725</v>
      </c>
      <c r="H395" s="277"/>
      <c r="I395" s="277"/>
      <c r="J395" s="278">
        <f>IFERROR(Budget!$Q56,"")</f>
        <v>0</v>
      </c>
      <c r="M395" s="278" t="b">
        <v>1</v>
      </c>
    </row>
    <row r="396" spans="1:13" x14ac:dyDescent="0.25">
      <c r="A396" s="278" t="str">
        <f>IF(Budget!$C57="", "", INDEX(Partnere!$A$2:$A$12, MATCH(Budget!$C57, Partnere!$F$2:$F$12, 0)))</f>
        <v/>
      </c>
      <c r="B396" s="279" t="str">
        <f>IF(Budget!$N57="", "", ROUND(Budget!$N57,0))</f>
        <v/>
      </c>
      <c r="C396" s="278" t="s">
        <v>716</v>
      </c>
      <c r="D396" s="278" t="str">
        <f>IF(Budget!$A57="","",VLOOKUP(Budget!$A57,OmkostningsExpenseTabel[#Data],2,FALSE))</f>
        <v/>
      </c>
      <c r="E396" s="278" t="s">
        <v>725</v>
      </c>
      <c r="H396" s="277"/>
      <c r="I396" s="277"/>
      <c r="J396" s="278">
        <f>IFERROR(Budget!$Q57,"")</f>
        <v>0</v>
      </c>
      <c r="M396" s="278" t="b">
        <v>1</v>
      </c>
    </row>
    <row r="397" spans="1:13" x14ac:dyDescent="0.25">
      <c r="A397" s="278" t="str">
        <f>IF(Budget!$C58="", "", INDEX(Partnere!$A$2:$A$12, MATCH(Budget!$C58, Partnere!$F$2:$F$12, 0)))</f>
        <v/>
      </c>
      <c r="B397" s="279" t="str">
        <f>IF(Budget!$N58="", "", ROUND(Budget!$N58,0))</f>
        <v/>
      </c>
      <c r="C397" s="278" t="s">
        <v>716</v>
      </c>
      <c r="D397" s="278" t="str">
        <f>IF(Budget!$A58="","",VLOOKUP(Budget!$A58,OmkostningsExpenseTabel[#Data],2,FALSE))</f>
        <v/>
      </c>
      <c r="E397" s="278" t="s">
        <v>725</v>
      </c>
      <c r="H397" s="277"/>
      <c r="I397" s="277"/>
      <c r="J397" s="278">
        <f>IFERROR(Budget!$Q58,"")</f>
        <v>0</v>
      </c>
      <c r="M397" s="278" t="b">
        <v>1</v>
      </c>
    </row>
    <row r="398" spans="1:13" x14ac:dyDescent="0.25">
      <c r="A398" s="278" t="str">
        <f>IF(Budget!$C59="", "", INDEX(Partnere!$A$2:$A$12, MATCH(Budget!$C59, Partnere!$F$2:$F$12, 0)))</f>
        <v/>
      </c>
      <c r="B398" s="279" t="str">
        <f>IF(Budget!$N59="", "", ROUND(Budget!$N59,0))</f>
        <v/>
      </c>
      <c r="C398" s="278" t="s">
        <v>716</v>
      </c>
      <c r="D398" s="278" t="str">
        <f>IF(Budget!$A59="","",VLOOKUP(Budget!$A59,OmkostningsExpenseTabel[#Data],2,FALSE))</f>
        <v/>
      </c>
      <c r="E398" s="278" t="s">
        <v>725</v>
      </c>
      <c r="H398" s="277"/>
      <c r="I398" s="277"/>
      <c r="J398" s="278">
        <f>IFERROR(Budget!$Q59,"")</f>
        <v>0</v>
      </c>
      <c r="M398" s="278" t="b">
        <v>1</v>
      </c>
    </row>
    <row r="399" spans="1:13" x14ac:dyDescent="0.25">
      <c r="A399" s="278" t="str">
        <f>IF(Budget!$C60="", "", INDEX(Partnere!$A$2:$A$12, MATCH(Budget!$C60, Partnere!$F$2:$F$12, 0)))</f>
        <v/>
      </c>
      <c r="B399" s="279" t="str">
        <f>IF(Budget!$N60="", "", ROUND(Budget!$N60,0))</f>
        <v/>
      </c>
      <c r="C399" s="278" t="s">
        <v>716</v>
      </c>
      <c r="D399" s="278" t="str">
        <f>IF(Budget!$A60="","",VLOOKUP(Budget!$A60,OmkostningsExpenseTabel[#Data],2,FALSE))</f>
        <v/>
      </c>
      <c r="E399" s="278" t="s">
        <v>725</v>
      </c>
      <c r="H399" s="277"/>
      <c r="I399" s="277"/>
      <c r="J399" s="278">
        <f>IFERROR(Budget!$Q60,"")</f>
        <v>0</v>
      </c>
      <c r="M399" s="278" t="b">
        <v>1</v>
      </c>
    </row>
    <row r="400" spans="1:13" x14ac:dyDescent="0.25">
      <c r="A400" s="278" t="str">
        <f>IF(Budget!$C61="", "", INDEX(Partnere!$A$2:$A$12, MATCH(Budget!$C61, Partnere!$F$2:$F$12, 0)))</f>
        <v/>
      </c>
      <c r="B400" s="279" t="str">
        <f>IF(Budget!$N61="", "", ROUND(Budget!$N61,0))</f>
        <v/>
      </c>
      <c r="C400" s="278" t="s">
        <v>716</v>
      </c>
      <c r="D400" s="278" t="str">
        <f>IF(Budget!$A61="","",VLOOKUP(Budget!$A61,OmkostningsExpenseTabel[#Data],2,FALSE))</f>
        <v/>
      </c>
      <c r="E400" s="278" t="s">
        <v>725</v>
      </c>
      <c r="H400" s="277"/>
      <c r="I400" s="277"/>
      <c r="J400" s="278">
        <f>IFERROR(Budget!$Q61,"")</f>
        <v>0</v>
      </c>
      <c r="M400" s="278" t="b">
        <v>1</v>
      </c>
    </row>
    <row r="401" spans="1:13" x14ac:dyDescent="0.25">
      <c r="A401" s="278" t="str">
        <f>IF(Budget!$C62="", "", INDEX(Partnere!$A$2:$A$12, MATCH(Budget!$C62, Partnere!$F$2:$F$12, 0)))</f>
        <v/>
      </c>
      <c r="B401" s="279" t="str">
        <f>IF(Budget!$N62="", "", ROUND(Budget!$N62,0))</f>
        <v/>
      </c>
      <c r="C401" s="278" t="s">
        <v>716</v>
      </c>
      <c r="D401" s="278" t="str">
        <f>IF(Budget!$A62="","",VLOOKUP(Budget!$A62,OmkostningsExpenseTabel[#Data],2,FALSE))</f>
        <v/>
      </c>
      <c r="E401" s="278" t="s">
        <v>725</v>
      </c>
      <c r="H401" s="277"/>
      <c r="I401" s="277"/>
      <c r="J401" s="278">
        <f>IFERROR(Budget!$Q62,"")</f>
        <v>0</v>
      </c>
      <c r="M401" s="278" t="b">
        <v>1</v>
      </c>
    </row>
    <row r="402" spans="1:13" x14ac:dyDescent="0.25">
      <c r="A402" s="278" t="str">
        <f>IF(Budget!$C63="", "", INDEX(Partnere!$A$2:$A$12, MATCH(Budget!$C63, Partnere!$F$2:$F$12, 0)))</f>
        <v/>
      </c>
      <c r="B402" s="279" t="str">
        <f>IF(Budget!$N63="", "", ROUND(Budget!$N63,0))</f>
        <v/>
      </c>
      <c r="C402" s="278" t="s">
        <v>716</v>
      </c>
      <c r="D402" s="278" t="str">
        <f>IF(Budget!$A63="","",VLOOKUP(Budget!$A63,OmkostningsExpenseTabel[#Data],2,FALSE))</f>
        <v/>
      </c>
      <c r="E402" s="278" t="s">
        <v>725</v>
      </c>
      <c r="H402" s="277"/>
      <c r="I402" s="277"/>
      <c r="J402" s="278">
        <f>IFERROR(Budget!$Q63,"")</f>
        <v>0</v>
      </c>
      <c r="M402" s="278" t="b">
        <v>1</v>
      </c>
    </row>
    <row r="403" spans="1:13" x14ac:dyDescent="0.25">
      <c r="A403" s="278" t="str">
        <f>IF(Budget!$C54="", "", INDEX(Partnere!$A$2:$A$12, MATCH(Budget!$C54, Partnere!$F$2:$F$12, 0)))</f>
        <v/>
      </c>
      <c r="B403" s="279" t="str">
        <f>IF(Budget!$O54="", "", ROUND(Budget!$O54,0))</f>
        <v/>
      </c>
      <c r="C403" s="278" t="s">
        <v>717</v>
      </c>
      <c r="D403" s="278" t="str">
        <f>IF(Budget!$A54="","",VLOOKUP(Budget!$A54,OmkostningsExpenseTabel[#Data],2,FALSE))</f>
        <v/>
      </c>
      <c r="E403" s="278" t="s">
        <v>725</v>
      </c>
      <c r="H403" s="277"/>
      <c r="I403" s="277"/>
      <c r="J403" s="278">
        <f>IFERROR(Budget!$Q54,"")</f>
        <v>0</v>
      </c>
      <c r="M403" s="278" t="b">
        <v>1</v>
      </c>
    </row>
    <row r="404" spans="1:13" x14ac:dyDescent="0.25">
      <c r="A404" s="278" t="str">
        <f>IF(Budget!$C55="", "", INDEX(Partnere!$A$2:$A$12, MATCH(Budget!$C55, Partnere!$F$2:$F$12, 0)))</f>
        <v/>
      </c>
      <c r="B404" s="279" t="str">
        <f>IF(Budget!$O55="", "", ROUND(Budget!$O55,0))</f>
        <v/>
      </c>
      <c r="C404" s="278" t="s">
        <v>717</v>
      </c>
      <c r="D404" s="278" t="str">
        <f>IF(Budget!$A55="","",VLOOKUP(Budget!$A55,OmkostningsExpenseTabel[#Data],2,FALSE))</f>
        <v/>
      </c>
      <c r="E404" s="278" t="s">
        <v>725</v>
      </c>
      <c r="H404" s="277"/>
      <c r="I404" s="277"/>
      <c r="J404" s="278">
        <f>IFERROR(Budget!$Q55,"")</f>
        <v>0</v>
      </c>
      <c r="M404" s="278" t="b">
        <v>1</v>
      </c>
    </row>
    <row r="405" spans="1:13" x14ac:dyDescent="0.25">
      <c r="A405" s="278" t="str">
        <f>IF(Budget!$C56="", "", INDEX(Partnere!$A$2:$A$12, MATCH(Budget!$C56, Partnere!$F$2:$F$12, 0)))</f>
        <v/>
      </c>
      <c r="B405" s="279" t="str">
        <f>IF(Budget!$O56="", "", ROUND(Budget!$O56,0))</f>
        <v/>
      </c>
      <c r="C405" s="278" t="s">
        <v>717</v>
      </c>
      <c r="D405" s="278" t="str">
        <f>IF(Budget!$A56="","",VLOOKUP(Budget!$A56,OmkostningsExpenseTabel[#Data],2,FALSE))</f>
        <v/>
      </c>
      <c r="E405" s="278" t="s">
        <v>725</v>
      </c>
      <c r="H405" s="277"/>
      <c r="I405" s="277"/>
      <c r="J405" s="278">
        <f>IFERROR(Budget!$Q56,"")</f>
        <v>0</v>
      </c>
      <c r="M405" s="278" t="b">
        <v>1</v>
      </c>
    </row>
    <row r="406" spans="1:13" x14ac:dyDescent="0.25">
      <c r="A406" s="278" t="str">
        <f>IF(Budget!$C57="", "", INDEX(Partnere!$A$2:$A$12, MATCH(Budget!$C57, Partnere!$F$2:$F$12, 0)))</f>
        <v/>
      </c>
      <c r="B406" s="279" t="str">
        <f>IF(Budget!$O57="", "", ROUND(Budget!$O57,0))</f>
        <v/>
      </c>
      <c r="C406" s="278" t="s">
        <v>717</v>
      </c>
      <c r="D406" s="278" t="str">
        <f>IF(Budget!$A57="","",VLOOKUP(Budget!$A57,OmkostningsExpenseTabel[#Data],2,FALSE))</f>
        <v/>
      </c>
      <c r="E406" s="278" t="s">
        <v>725</v>
      </c>
      <c r="H406" s="277"/>
      <c r="I406" s="277"/>
      <c r="J406" s="278">
        <f>IFERROR(Budget!$Q57,"")</f>
        <v>0</v>
      </c>
      <c r="M406" s="278" t="b">
        <v>1</v>
      </c>
    </row>
    <row r="407" spans="1:13" x14ac:dyDescent="0.25">
      <c r="A407" s="278" t="str">
        <f>IF(Budget!$C58="", "", INDEX(Partnere!$A$2:$A$12, MATCH(Budget!$C58, Partnere!$F$2:$F$12, 0)))</f>
        <v/>
      </c>
      <c r="B407" s="279" t="str">
        <f>IF(Budget!$O58="", "", ROUND(Budget!$O58,0))</f>
        <v/>
      </c>
      <c r="C407" s="278" t="s">
        <v>717</v>
      </c>
      <c r="D407" s="278" t="str">
        <f>IF(Budget!$A58="","",VLOOKUP(Budget!$A58,OmkostningsExpenseTabel[#Data],2,FALSE))</f>
        <v/>
      </c>
      <c r="E407" s="278" t="s">
        <v>725</v>
      </c>
      <c r="H407" s="277"/>
      <c r="I407" s="277"/>
      <c r="J407" s="278">
        <f>IFERROR(Budget!$Q58,"")</f>
        <v>0</v>
      </c>
      <c r="M407" s="278" t="b">
        <v>1</v>
      </c>
    </row>
    <row r="408" spans="1:13" x14ac:dyDescent="0.25">
      <c r="A408" s="278" t="str">
        <f>IF(Budget!$C59="", "", INDEX(Partnere!$A$2:$A$12, MATCH(Budget!$C59, Partnere!$F$2:$F$12, 0)))</f>
        <v/>
      </c>
      <c r="B408" s="279" t="str">
        <f>IF(Budget!$O59="", "", ROUND(Budget!$O59,0))</f>
        <v/>
      </c>
      <c r="C408" s="278" t="s">
        <v>717</v>
      </c>
      <c r="D408" s="278" t="str">
        <f>IF(Budget!$A59="","",VLOOKUP(Budget!$A59,OmkostningsExpenseTabel[#Data],2,FALSE))</f>
        <v/>
      </c>
      <c r="E408" s="278" t="s">
        <v>725</v>
      </c>
      <c r="H408" s="277"/>
      <c r="I408" s="277"/>
      <c r="J408" s="278">
        <f>IFERROR(Budget!$Q59,"")</f>
        <v>0</v>
      </c>
      <c r="M408" s="278" t="b">
        <v>1</v>
      </c>
    </row>
    <row r="409" spans="1:13" x14ac:dyDescent="0.25">
      <c r="A409" s="278" t="str">
        <f>IF(Budget!$C60="", "", INDEX(Partnere!$A$2:$A$12, MATCH(Budget!$C60, Partnere!$F$2:$F$12, 0)))</f>
        <v/>
      </c>
      <c r="B409" s="279" t="str">
        <f>IF(Budget!$O60="", "", ROUND(Budget!$O60,0))</f>
        <v/>
      </c>
      <c r="C409" s="278" t="s">
        <v>717</v>
      </c>
      <c r="D409" s="278" t="str">
        <f>IF(Budget!$A60="","",VLOOKUP(Budget!$A60,OmkostningsExpenseTabel[#Data],2,FALSE))</f>
        <v/>
      </c>
      <c r="E409" s="278" t="s">
        <v>725</v>
      </c>
      <c r="H409" s="277"/>
      <c r="I409" s="277"/>
      <c r="J409" s="278">
        <f>IFERROR(Budget!$Q60,"")</f>
        <v>0</v>
      </c>
      <c r="M409" s="278" t="b">
        <v>1</v>
      </c>
    </row>
    <row r="410" spans="1:13" x14ac:dyDescent="0.25">
      <c r="A410" s="278" t="str">
        <f>IF(Budget!$C61="", "", INDEX(Partnere!$A$2:$A$12, MATCH(Budget!$C61, Partnere!$F$2:$F$12, 0)))</f>
        <v/>
      </c>
      <c r="B410" s="279" t="str">
        <f>IF(Budget!$O61="", "", ROUND(Budget!$O61,0))</f>
        <v/>
      </c>
      <c r="C410" s="278" t="s">
        <v>717</v>
      </c>
      <c r="D410" s="278" t="str">
        <f>IF(Budget!$A61="","",VLOOKUP(Budget!$A61,OmkostningsExpenseTabel[#Data],2,FALSE))</f>
        <v/>
      </c>
      <c r="E410" s="278" t="s">
        <v>725</v>
      </c>
      <c r="H410" s="277"/>
      <c r="I410" s="277"/>
      <c r="J410" s="278">
        <f>IFERROR(Budget!$Q61,"")</f>
        <v>0</v>
      </c>
      <c r="M410" s="278" t="b">
        <v>1</v>
      </c>
    </row>
    <row r="411" spans="1:13" x14ac:dyDescent="0.25">
      <c r="A411" s="278" t="str">
        <f>IF(Budget!$C62="", "", INDEX(Partnere!$A$2:$A$12, MATCH(Budget!$C62, Partnere!$F$2:$F$12, 0)))</f>
        <v/>
      </c>
      <c r="B411" s="279" t="str">
        <f>IF(Budget!$O62="", "", ROUND(Budget!$O62,0))</f>
        <v/>
      </c>
      <c r="C411" s="278" t="s">
        <v>717</v>
      </c>
      <c r="D411" s="278" t="str">
        <f>IF(Budget!$A62="","",VLOOKUP(Budget!$A62,OmkostningsExpenseTabel[#Data],2,FALSE))</f>
        <v/>
      </c>
      <c r="E411" s="278" t="s">
        <v>725</v>
      </c>
      <c r="H411" s="277"/>
      <c r="I411" s="277"/>
      <c r="J411" s="278">
        <f>IFERROR(Budget!$Q62,"")</f>
        <v>0</v>
      </c>
      <c r="M411" s="278" t="b">
        <v>1</v>
      </c>
    </row>
    <row r="412" spans="1:13" x14ac:dyDescent="0.25">
      <c r="A412" s="278" t="str">
        <f>IF(Budget!$C63="", "", INDEX(Partnere!$A$2:$A$12, MATCH(Budget!$C63, Partnere!$F$2:$F$12, 0)))</f>
        <v/>
      </c>
      <c r="B412" s="279" t="str">
        <f>IF(Budget!$O63="", "", ROUND(Budget!$O63,0))</f>
        <v/>
      </c>
      <c r="C412" s="278" t="s">
        <v>717</v>
      </c>
      <c r="D412" s="278" t="str">
        <f>IF(Budget!$A63="","",VLOOKUP(Budget!$A63,OmkostningsExpenseTabel[#Data],2,FALSE))</f>
        <v/>
      </c>
      <c r="E412" s="278" t="s">
        <v>725</v>
      </c>
      <c r="H412" s="277"/>
      <c r="I412" s="277"/>
      <c r="J412" s="278">
        <f>IFERROR(Budget!$Q63,"")</f>
        <v>0</v>
      </c>
      <c r="M412" s="278" t="b">
        <v>1</v>
      </c>
    </row>
  </sheetData>
  <sheetProtection algorithmName="SHA-512" hashValue="RdKW9I8EkC4pzPyFp62knlNq3yGUn1F27lwagiTU4paWeWB6AB/Cd9pE881xfaIvczNCSFhcSgFxo0ceOFHonQ==" saltValue="M+JEeUh3M36PYRDAE0bkZA==" spinCount="100000" sheet="1" objects="1" scenarios="1"/>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rgb="FFFF0000"/>
  </sheetPr>
  <dimension ref="A1:I24"/>
  <sheetViews>
    <sheetView zoomScale="85" zoomScaleNormal="85" workbookViewId="0"/>
  </sheetViews>
  <sheetFormatPr defaultColWidth="9.140625" defaultRowHeight="15" x14ac:dyDescent="0.25"/>
  <cols>
    <col min="1" max="1" width="12.5703125" style="1" bestFit="1" customWidth="1"/>
    <col min="2" max="2" width="10.42578125" style="1" customWidth="1"/>
    <col min="3" max="3" width="14" style="1" customWidth="1"/>
    <col min="4" max="4" width="16.42578125" style="1" customWidth="1"/>
    <col min="5" max="5" width="13.42578125" style="1" bestFit="1" customWidth="1"/>
    <col min="6" max="6" width="11.42578125" style="1" bestFit="1" customWidth="1"/>
    <col min="7" max="7" width="11.85546875" style="1" bestFit="1" customWidth="1"/>
    <col min="8" max="8" width="12.5703125" style="1" bestFit="1" customWidth="1"/>
    <col min="9" max="16384" width="9.140625" style="1"/>
  </cols>
  <sheetData>
    <row r="1" spans="1:9" x14ac:dyDescent="0.25">
      <c r="A1" s="13" t="s">
        <v>700</v>
      </c>
      <c r="B1" s="13" t="s">
        <v>701</v>
      </c>
      <c r="C1" s="13" t="s">
        <v>852</v>
      </c>
      <c r="D1" s="13" t="s">
        <v>853</v>
      </c>
      <c r="E1" s="13" t="s">
        <v>855</v>
      </c>
      <c r="F1" s="403" t="s">
        <v>856</v>
      </c>
      <c r="G1" s="403" t="s">
        <v>857</v>
      </c>
    </row>
    <row r="2" spans="1:9" x14ac:dyDescent="0.25">
      <c r="A2" t="str">
        <f>IFERROR(IF(AND(AnvenderUdbetalingsplan,NOT(OverTreMillioner)),1,""),"")</f>
        <v/>
      </c>
      <c r="B2" s="399" t="str">
        <f>IFERROR(ROUND(Budget!$B$77-B3,0),"")</f>
        <v/>
      </c>
      <c r="C2" s="398" t="str">
        <f>IF(ProjektStart="","",IF(Partnere!S$2="DK-UNI",EDATE(ProjektStart,3),ProjektStart))</f>
        <v/>
      </c>
      <c r="D2" s="1" t="b">
        <f>IF(Partnere!S$2="DK-UNI",TRUE,FALSE)</f>
        <v>0</v>
      </c>
      <c r="E2" t="b">
        <f>Udbetalingsplan[[#This Row],[Budgetår]]=YEAR(ProjektSlut)</f>
        <v>0</v>
      </c>
      <c r="F2"/>
      <c r="G2" s="404"/>
    </row>
    <row r="3" spans="1:9" x14ac:dyDescent="0.25">
      <c r="A3" s="1" t="str">
        <f>IFERROR(IF(AND(AnvenderUdbetalingsplan,NOT(OverTreMillioner)),1,""),"")</f>
        <v/>
      </c>
      <c r="B3" s="399" t="str">
        <f>IFERROR(IF(Budget!$B$77*0.15&gt;=15000,ROUND(Budget!$B$77*0.15,0), 15000),"")</f>
        <v/>
      </c>
      <c r="C3" s="398" t="str">
        <f>IF(ProjektSlut="","",ProjektSlut+1)</f>
        <v/>
      </c>
      <c r="D3" t="b">
        <v>0</v>
      </c>
      <c r="E3" t="b">
        <f>Udbetalingsplan[[#This Row],[Budgetår]]=YEAR(ProjektSlut)</f>
        <v>0</v>
      </c>
      <c r="F3"/>
      <c r="G3" s="404"/>
    </row>
    <row r="4" spans="1:9" x14ac:dyDescent="0.25">
      <c r="A4" t="str">
        <f>IFERROR(IF(AND(AnvenderUdbetalingsplan,OverTreMillioner),1,""), "")</f>
        <v/>
      </c>
      <c r="B4" s="399" t="e">
        <f>ROUND(IF(Udbetalingsplan[[#This Row],[ErSidsteAar]], MAX(0,Udbetalingsplan[Budgettal]-B$13), MAX(0,IF(B5&gt;0, Udbetalingsplan[[#This Row],[Budgettal]], Udbetalingsplan[[#This Row],[Budgettal]]-B$13+B5+B6+B7+B8+B9+B10+B11+B12))),0)</f>
        <v>#N/A</v>
      </c>
      <c r="C4" s="398" t="str">
        <f>IF(ProjektStart="","",IF(Partnere!S$2="DK-UNI",EDATE(ProjektStart,3),ProjektStart))</f>
        <v/>
      </c>
      <c r="D4" s="1" t="b">
        <f>IF(Partnere!S$2="DK-UNI",TRUE,FALSE)</f>
        <v>0</v>
      </c>
      <c r="E4" t="b">
        <f>Udbetalingsplan[[#This Row],[Budgetår]]=YEAR(ProjektSlut)</f>
        <v>0</v>
      </c>
      <c r="F4">
        <f t="shared" ref="F4" si="0">FirstYear</f>
        <v>2021</v>
      </c>
      <c r="G4" s="404">
        <f>IF(OR(Udbetalingsplan[[#This Row],[Budgetår]]="", Budget!$C$77=""), 0, Budget!$C$77)</f>
        <v>0</v>
      </c>
    </row>
    <row r="5" spans="1:9" x14ac:dyDescent="0.25">
      <c r="A5" t="str">
        <f>IFERROR(IF(AND(AnvenderUdbetalingsplan,OverTreMillioner),1,""), "")</f>
        <v/>
      </c>
      <c r="B5" s="399" t="e">
        <f>ROUND(IF(Udbetalingsplan[[#This Row],[ErSidsteAar]], MAX(0,Udbetalingsplan[Budgettal]-B$13), MAX(0,IF(B6&gt;0, Udbetalingsplan[[#This Row],[Budgettal]], Udbetalingsplan[[#This Row],[Budgettal]]-B$13+B6+B7+B8+B9+B10+B11+B12))),0)</f>
        <v>#N/A</v>
      </c>
      <c r="C5" s="398" t="e">
        <f>IF(E5,IF(ProjektSlut&gt;=DATE(YEAR(ProjektSlut), 6, 2),DATE(YEAR(ProjektSlut), 6, 1),ProjektSlut-1),DATE(Udbetalingsplan[[#This Row],[Budgetår]], 6, 1))</f>
        <v>#VALUE!</v>
      </c>
      <c r="D5" s="1" t="b">
        <f>IF(Partnere!S$2="DK-UNI",TRUE,FALSE)</f>
        <v>0</v>
      </c>
      <c r="E5" t="b">
        <f>Udbetalingsplan[[#This Row],[Budgetår]]=YEAR(ProjektSlut)</f>
        <v>0</v>
      </c>
      <c r="F5" s="1" t="str">
        <f>IF(FirstYear+1&lt;=YEAR(ProjektSlut), FirstYear+1, "")</f>
        <v/>
      </c>
      <c r="G5" s="404">
        <f>IF(OR(Udbetalingsplan[[#This Row],[Budgetår]]="", Budget!$D$77=""), 0, Budget!$D$77)</f>
        <v>0</v>
      </c>
    </row>
    <row r="6" spans="1:9" x14ac:dyDescent="0.25">
      <c r="A6" t="str">
        <f>IFERROR(IF(AND(AnvenderUdbetalingsplan,OverTreMillioner),1,""), "")</f>
        <v/>
      </c>
      <c r="B6" s="399" t="e">
        <f>ROUND(IF(Udbetalingsplan[[#This Row],[ErSidsteAar]], MAX(0,Udbetalingsplan[Budgettal]-B$13), MAX(0,IF(B7&gt;0, Udbetalingsplan[[#This Row],[Budgettal]], Udbetalingsplan[[#This Row],[Budgettal]]-B$13+B7+B8+B9+B10+B11+B12))),0)</f>
        <v>#N/A</v>
      </c>
      <c r="C6" s="398" t="str">
        <f>IFERROR(IF(E6,IF(ProjektSlut&gt;=DATE(YEAR(ProjektSlut), 6, 2),DATE(YEAR(ProjektSlut), 6, 1),ProjektSlut-1),DATE(Udbetalingsplan[[#This Row],[Budgetår]], 6, 1)), "")</f>
        <v/>
      </c>
      <c r="D6" s="1" t="b">
        <f>IF(Partnere!S$2="DK-UNI",TRUE,FALSE)</f>
        <v>0</v>
      </c>
      <c r="E6" t="b">
        <f>Udbetalingsplan[[#This Row],[Budgetår]]=YEAR(ProjektSlut)</f>
        <v>0</v>
      </c>
      <c r="F6" s="1" t="str">
        <f>IF(FirstYear+2&lt;=YEAR(ProjektSlut), FirstYear+2, "")</f>
        <v/>
      </c>
      <c r="G6" s="404">
        <f>IF(OR(Udbetalingsplan[[#This Row],[Budgetår]]="", Budget!$E$77=""), 0, Budget!$E$77)</f>
        <v>0</v>
      </c>
    </row>
    <row r="7" spans="1:9" x14ac:dyDescent="0.25">
      <c r="A7" t="str">
        <f>IFERROR(IF(AND(AnvenderUdbetalingsplan,OverTreMillioner),1,""), "")</f>
        <v/>
      </c>
      <c r="B7" s="399" t="e">
        <f>ROUND(IF(Udbetalingsplan[[#This Row],[ErSidsteAar]], MAX(0,Udbetalingsplan[Budgettal]-B$13), MAX(0,IF(B8&gt;0, Udbetalingsplan[[#This Row],[Budgettal]], Udbetalingsplan[[#This Row],[Budgettal]]-B$13+B8+B9+B10+B11+B12))),0)</f>
        <v>#N/A</v>
      </c>
      <c r="C7" s="398" t="str">
        <f>IFERROR(IF(E7,IF(ProjektSlut&gt;=DATE(YEAR(ProjektSlut), 6, 2),DATE(YEAR(ProjektSlut), 6, 1),ProjektSlut-1),DATE(Udbetalingsplan[[#This Row],[Budgetår]], 6, 1)), "")</f>
        <v/>
      </c>
      <c r="D7" s="1" t="b">
        <f>IF(Partnere!S$2="DK-UNI",TRUE,FALSE)</f>
        <v>0</v>
      </c>
      <c r="E7" t="b">
        <f>Udbetalingsplan[[#This Row],[Budgetår]]=YEAR(ProjektSlut)</f>
        <v>0</v>
      </c>
      <c r="F7" s="1" t="str">
        <f>IF(FirstYear+3&lt;=YEAR(ProjektSlut), FirstYear+3, "")</f>
        <v/>
      </c>
      <c r="G7" s="404">
        <f>IF(OR(Udbetalingsplan[[#This Row],[Budgetår]]="", Budget!$F$77=""), 0, Budget!$F$77)</f>
        <v>0</v>
      </c>
    </row>
    <row r="8" spans="1:9" x14ac:dyDescent="0.25">
      <c r="A8" t="str">
        <f>IFERROR(IF(AND(AnvenderUdbetalingsplan,OverTreMillioner),1,""), "")</f>
        <v/>
      </c>
      <c r="B8" s="399" t="e">
        <f>ROUND(IF(Udbetalingsplan[[#This Row],[ErSidsteAar]], MAX(0,Udbetalingsplan[Budgettal]-B$13), MAX(0,IF(B9&gt;0, Udbetalingsplan[[#This Row],[Budgettal]], Udbetalingsplan[[#This Row],[Budgettal]]-B$13+B9+B10+B11+B12))),0)</f>
        <v>#N/A</v>
      </c>
      <c r="C8" s="398" t="str">
        <f>IFERROR(IF(E8,IF(ProjektSlut&gt;=DATE(YEAR(ProjektSlut), 6, 2),DATE(YEAR(ProjektSlut), 6, 1),ProjektSlut-1),DATE(Udbetalingsplan[[#This Row],[Budgetår]], 6, 1)), "")</f>
        <v/>
      </c>
      <c r="D8" s="1" t="b">
        <f>IF(Partnere!S$2="DK-UNI",TRUE,FALSE)</f>
        <v>0</v>
      </c>
      <c r="E8" t="b">
        <f>Udbetalingsplan[[#This Row],[Budgetår]]=YEAR(ProjektSlut)</f>
        <v>0</v>
      </c>
      <c r="F8" s="1" t="str">
        <f>IF(FirstYear+4&lt;=YEAR(ProjektSlut), FirstYear+4, "")</f>
        <v/>
      </c>
      <c r="G8" s="404">
        <f>IF(OR(Udbetalingsplan[[#This Row],[Budgetår]]="", Budget!$G$77=""), 0, Budget!$G$77)</f>
        <v>0</v>
      </c>
    </row>
    <row r="9" spans="1:9" x14ac:dyDescent="0.25">
      <c r="A9" t="str">
        <f>IFERROR(IF(AND(AnvenderUdbetalingsplan,OverTreMillioner),1,""), "")</f>
        <v/>
      </c>
      <c r="B9" s="399" t="e">
        <f>ROUND(IF(Udbetalingsplan[[#This Row],[ErSidsteAar]], MAX(0,Udbetalingsplan[Budgettal]-B$13), MAX(0,IF(B10&gt;0, Udbetalingsplan[[#This Row],[Budgettal]], Udbetalingsplan[[#This Row],[Budgettal]]-B$13+B10+B11+B12))),0)</f>
        <v>#N/A</v>
      </c>
      <c r="C9" s="398" t="str">
        <f>IFERROR(IF(E9,IF(ProjektSlut&gt;=DATE(YEAR(ProjektSlut), 6, 2),DATE(YEAR(ProjektSlut), 6, 1),ProjektSlut-1),DATE(Udbetalingsplan[[#This Row],[Budgetår]], 6, 1)), "")</f>
        <v/>
      </c>
      <c r="D9" s="1" t="b">
        <f>IF(Partnere!S$2="DK-UNI",TRUE,FALSE)</f>
        <v>0</v>
      </c>
      <c r="E9" t="b">
        <f>Udbetalingsplan[[#This Row],[Budgetår]]=YEAR(ProjektSlut)</f>
        <v>0</v>
      </c>
      <c r="F9" s="1" t="str">
        <f>IF(FirstYear+5&lt;=YEAR(ProjektSlut), FirstYear+5, "")</f>
        <v/>
      </c>
      <c r="G9" s="404">
        <f>IF(OR(Udbetalingsplan[[#This Row],[Budgetår]]="", Budget!$H$77=""), 0, Budget!$H$77)</f>
        <v>0</v>
      </c>
    </row>
    <row r="10" spans="1:9" x14ac:dyDescent="0.25">
      <c r="A10" s="1" t="str">
        <f>IFERROR(IF(AND(AnvenderUdbetalingsplan,OverTreMillioner),1,""), "")</f>
        <v/>
      </c>
      <c r="B10" s="399" t="e">
        <f>ROUND(IF(Udbetalingsplan[[#This Row],[ErSidsteAar]], MAX(0,Udbetalingsplan[Budgettal]-B$13), MAX(0,IF(B11&gt;0, Udbetalingsplan[[#This Row],[Budgettal]], Udbetalingsplan[[#This Row],[Budgettal]]-B$13+B11+B12))),0)</f>
        <v>#N/A</v>
      </c>
      <c r="C10" s="398" t="str">
        <f>IFERROR(IF(E10,IF(ProjektSlut&gt;=DATE(YEAR(ProjektSlut), 6, 2),DATE(YEAR(ProjektSlut), 6, 1),ProjektSlut-1),DATE(Udbetalingsplan[[#This Row],[Budgetår]], 6, 1)), "")</f>
        <v/>
      </c>
      <c r="D10" s="1" t="b">
        <f>IF(Partnere!S$2="DK-UNI",TRUE,FALSE)</f>
        <v>0</v>
      </c>
      <c r="E10" s="1" t="b">
        <f>Udbetalingsplan[[#This Row],[Budgetår]]=YEAR(ProjektSlut)</f>
        <v>0</v>
      </c>
      <c r="F10" s="1" t="str">
        <f>IF(FirstYear+5&lt;=YEAR(ProjektSlut), FirstYear+6, "")</f>
        <v/>
      </c>
      <c r="G10" s="404">
        <f>IF(OR(Udbetalingsplan[[#This Row],[Budgetår]]="", Budget!$I$77=""), 0, Budget!$I$77)</f>
        <v>0</v>
      </c>
    </row>
    <row r="11" spans="1:9" x14ac:dyDescent="0.25">
      <c r="A11" s="1" t="str">
        <f>IFERROR(IF(AND(AnvenderUdbetalingsplan,OverTreMillioner),1,""), "")</f>
        <v/>
      </c>
      <c r="B11" s="399" t="e">
        <f>ROUND(IF(Udbetalingsplan[[#This Row],[ErSidsteAar]], MAX(0,Udbetalingsplan[Budgettal]-B$13), MAX(0,IF(B12&gt;0, Udbetalingsplan[[#This Row],[Budgettal]], Udbetalingsplan[[#This Row],[Budgettal]]-B$13+B12))),0)</f>
        <v>#N/A</v>
      </c>
      <c r="C11" s="398" t="str">
        <f>IFERROR(IF(E11,IF(ProjektSlut&gt;=DATE(YEAR(ProjektSlut), 6, 2),DATE(YEAR(ProjektSlut), 6, 1),ProjektSlut-1),DATE(Udbetalingsplan[[#This Row],[Budgetår]], 6, 1)), "")</f>
        <v/>
      </c>
      <c r="D11" s="1" t="b">
        <f>IF(Partnere!S$2="DK-UNI",TRUE,FALSE)</f>
        <v>0</v>
      </c>
      <c r="E11" s="1" t="b">
        <f>Udbetalingsplan[[#This Row],[Budgetår]]=YEAR(ProjektSlut)</f>
        <v>0</v>
      </c>
      <c r="F11" s="1" t="str">
        <f>IF(FirstYear+5&lt;=YEAR(ProjektSlut), FirstYear+7, "")</f>
        <v/>
      </c>
      <c r="G11" s="404">
        <f>IF(OR(Udbetalingsplan[[#This Row],[Budgetår]]="", Budget!$J$77=""), 0, Budget!$J$77)</f>
        <v>0</v>
      </c>
    </row>
    <row r="12" spans="1:9" x14ac:dyDescent="0.25">
      <c r="A12" t="str">
        <f>IFERROR(IF(AND(AnvenderUdbetalingsplan,OverTreMillioner),1,""), "")</f>
        <v/>
      </c>
      <c r="B12" s="399" t="e">
        <f>ROUND(MAX(0,Udbetalingsplan[[#This Row],[Budgettal]]-B$13),0)</f>
        <v>#N/A</v>
      </c>
      <c r="C12" s="398" t="str">
        <f>IFERROR(IF(E12,IF(ProjektSlut&gt;=DATE(YEAR(ProjektSlut), 6, 2),DATE(YEAR(ProjektSlut), 6, 1),ProjektSlut-1),DATE(Udbetalingsplan[[#This Row],[Budgetår]], 6, 1)), "")</f>
        <v/>
      </c>
      <c r="D12" s="1" t="b">
        <f>IF(Partnere!S$2="DK-UNI",TRUE,FALSE)</f>
        <v>0</v>
      </c>
      <c r="E12" t="b">
        <f>Udbetalingsplan[[#This Row],[Budgetår]]=YEAR(ProjektSlut)</f>
        <v>0</v>
      </c>
      <c r="F12" s="1" t="str">
        <f>IF(FirstYear+6&lt;=YEAR(ProjektSlut), FirstYear+8, "")</f>
        <v/>
      </c>
      <c r="G12" s="404">
        <f>IF(OR(Udbetalingsplan[[#This Row],[Budgetår]]="", Budget!$E$77=""), 0, Budget!$E$77)</f>
        <v>0</v>
      </c>
    </row>
    <row r="13" spans="1:9" x14ac:dyDescent="0.25">
      <c r="A13" s="400" t="str">
        <f>IFERROR(IF(AND(AnvenderUdbetalingsplan,OverTreMillioner),1,""), "")</f>
        <v/>
      </c>
      <c r="B13" s="399" t="e">
        <f>ROUND(MIN(MAX(0.15*INDEX(Udbetalingsplan[Budgettal], MATCH(TRUE, Udbetalingsplan[ErSidsteAar], 0)),15000),SUM(Udbetalingsplan[Budgettal])),0)</f>
        <v>#N/A</v>
      </c>
      <c r="C13" s="398">
        <f>ProjektSlut+1</f>
        <v>1</v>
      </c>
      <c r="D13" s="1" t="b">
        <v>0</v>
      </c>
      <c r="E13" t="b">
        <f>Udbetalingsplan[[#This Row],[Budgetår]]=YEAR(ProjektSlut)</f>
        <v>0</v>
      </c>
      <c r="G13" s="404" t="str">
        <f>IF(Udbetalingsplan[[#This Row],[Budgetår]]&lt;&gt;"", Budget!$F$77, "")</f>
        <v/>
      </c>
      <c r="I13" s="401"/>
    </row>
    <row r="23" spans="2:3" x14ac:dyDescent="0.25">
      <c r="B23" s="402"/>
    </row>
    <row r="24" spans="2:3" x14ac:dyDescent="0.25">
      <c r="C24" s="399"/>
    </row>
  </sheetData>
  <sheetProtection algorithmName="SHA-512" hashValue="ouameDhX3eTWqRDeEhI07NwpqdVelEoMktcGSV7CwB2n/7nw/udxPK45QADxUdx0pOy4Y6AfmORBlejzn3spCA==" saltValue="pG39GTWkbfsdffGoXxnYag==" spinCount="100000" sheet="1" objects="1" scenarios="1"/>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I12"/>
  <sheetViews>
    <sheetView showGridLines="0" zoomScale="85" zoomScaleNormal="85" workbookViewId="0"/>
  </sheetViews>
  <sheetFormatPr defaultColWidth="8.85546875" defaultRowHeight="15" x14ac:dyDescent="0.25"/>
  <cols>
    <col min="1" max="1" width="13.28515625" style="1" customWidth="1"/>
    <col min="2" max="2" width="6.85546875" style="1" bestFit="1" customWidth="1"/>
    <col min="3" max="3" width="8.42578125" style="1" bestFit="1" customWidth="1"/>
    <col min="4" max="4" width="8.85546875" style="1"/>
    <col min="5" max="6" width="14.140625" style="1" customWidth="1"/>
    <col min="7" max="7" width="16.140625" style="1" customWidth="1"/>
    <col min="8" max="8" width="14.140625" style="1" customWidth="1"/>
    <col min="9" max="9" width="19.7109375" style="1" bestFit="1" customWidth="1"/>
    <col min="10" max="16384" width="8.85546875" style="1"/>
  </cols>
  <sheetData>
    <row r="1" spans="1:9" x14ac:dyDescent="0.25">
      <c r="A1" s="20" t="s">
        <v>722</v>
      </c>
      <c r="B1" s="21" t="s">
        <v>20</v>
      </c>
      <c r="C1" s="20" t="s">
        <v>21</v>
      </c>
      <c r="E1" s="19" t="s">
        <v>718</v>
      </c>
      <c r="F1" s="19" t="s">
        <v>719</v>
      </c>
      <c r="G1" s="19" t="s">
        <v>720</v>
      </c>
      <c r="H1" s="19" t="s">
        <v>721</v>
      </c>
      <c r="I1" s="19" t="s">
        <v>735</v>
      </c>
    </row>
    <row r="2" spans="1:9" x14ac:dyDescent="0.25">
      <c r="A2" s="22" t="s">
        <v>1</v>
      </c>
      <c r="B2" s="23" t="b">
        <f>OR(Partnere!$I2="", IFERROR(AND(LEN(Partnere!$I2)=8, VALUE(Partnere!$I2)&gt;=10000000, VALUE(Partnere!$I2)&lt;=99999999, MOD(SUMPRODUCT(MID(VALUE(Partnere!$I2),{1;2;3;4;5;6;7;8}, 1)*1,{2;7;6;5;4;3;2;1}), 11)=0), FALSE))</f>
        <v>1</v>
      </c>
      <c r="C2" s="22" t="b">
        <f>OR(PnrA="", IFERROR(AND(LEN(PnrA)=10, VALUE(PnrA)&gt;=1000000000, VALUE(PnrA)&lt;=9999999999, MOD(SUMPRODUCT(MID(VALUE(PnrA),{1;2;3;4;5;6;7;8;9;10}, 1)*1,IF(VALUE(PnrA)&gt;1006959421,{4;3;2;7;6;5;4;3;2;1},{1;5;6;7;3;6;4;8;9;1})), 11)=0), FALSE))</f>
        <v>1</v>
      </c>
      <c r="E2" s="80">
        <v>44378</v>
      </c>
      <c r="F2" s="80">
        <v>44562</v>
      </c>
      <c r="G2" s="80"/>
      <c r="H2" s="80"/>
      <c r="I2" s="80">
        <v>44105</v>
      </c>
    </row>
    <row r="3" spans="1:9" x14ac:dyDescent="0.25">
      <c r="A3" s="22" t="s">
        <v>10</v>
      </c>
      <c r="B3" s="23" t="b">
        <f>OR(Partnere!$I3="", IFERROR(AND(LEN(Partnere!$I3)=8, VALUE(Partnere!$I3)&gt;=10000000, VALUE(Partnere!$I3)&lt;=99999999, MOD(SUMPRODUCT(MID(VALUE(Partnere!$I3),{1;2;3;4;5;6;7;8}, 1)*1,{2;7;6;5;4;3;2;1}), 11)=0), FALSE))</f>
        <v>1</v>
      </c>
      <c r="C3" s="22" t="b">
        <f>OR(PnrEt="", IFERROR(AND(LEN(PnrEt)=10, VALUE(PnrEt)&gt;=1000000000, VALUE(PnrEt)&lt;=9999999999, MOD(SUMPRODUCT(MID(VALUE(PnrEt),{1;2;3;4;5;6;7;8;9;10}, 1)*1,IF(VALUE(PnrEt)&gt;1006959421,{4;3;2;7;6;5;4;3;2;1},{1;5;6;7;3;6;4;8;9;1})), 11)=0), FALSE))</f>
        <v>1</v>
      </c>
    </row>
    <row r="4" spans="1:9" x14ac:dyDescent="0.25">
      <c r="A4" s="22" t="s">
        <v>11</v>
      </c>
      <c r="B4" s="23" t="b">
        <f>OR(Partnere!$I4="", IFERROR(AND(LEN(Partnere!$I4)=8, VALUE(Partnere!$I4)&gt;=10000000, VALUE(Partnere!$I4)&lt;=99999999, MOD(SUMPRODUCT(MID(VALUE(Partnere!$I4),{1;2;3;4;5;6;7;8}, 1)*1,{2;7;6;5;4;3;2;1}), 11)=0), FALSE))</f>
        <v>1</v>
      </c>
      <c r="C4" s="22" t="b">
        <f>OR(PnrTo="", IFERROR(AND(LEN(PnrTo)=10, VALUE(PnrTo)&gt;=1000000000, VALUE(PnrTo)&lt;=9999999999, MOD(SUMPRODUCT(MID(VALUE(PnrTo),{1;2;3;4;5;6;7;8;9;10}, 1)*1,IF(VALUE(PnrTo)&gt;1006959421,{4;3;2;7;6;5;4;3;2;1},{1;5;6;7;3;6;4;8;9;1})), 11)=0), FALSE))</f>
        <v>1</v>
      </c>
    </row>
    <row r="5" spans="1:9" x14ac:dyDescent="0.25">
      <c r="A5" s="22" t="s">
        <v>631</v>
      </c>
      <c r="B5" s="23" t="b">
        <f>OR(Partnere!$I5="", IFERROR(AND(LEN(Partnere!$I5)=8, VALUE(Partnere!$I5)&gt;=10000000, VALUE(Partnere!$I5)&lt;=99999999, MOD(SUMPRODUCT(MID(VALUE(Partnere!$I5),{1;2;3;4;5;6;7;8}, 1)*1,{2;7;6;5;4;3;2;1}), 11)=0), FALSE))</f>
        <v>1</v>
      </c>
      <c r="C5" s="22" t="b">
        <f>OR(PnrTre="", IFERROR(AND(LEN(PnrTre)=10, VALUE(PnrTre)&gt;=1000000000, VALUE(PnrTre)&lt;=9999999999, MOD(SUMPRODUCT(MID(VALUE(PnrTre),{1;2;3;4;5;6;7;8;9;10}, 1)*1,IF(VALUE(PnrTre)&gt;1006959421,{4;3;2;7;6;5;4;3;2;1},{1;5;6;7;3;6;4;8;9;1})), 11)=0), FALSE))</f>
        <v>1</v>
      </c>
    </row>
    <row r="6" spans="1:9" x14ac:dyDescent="0.25">
      <c r="A6" s="24" t="s">
        <v>632</v>
      </c>
      <c r="B6" s="23" t="b">
        <f>OR(Partnere!$I6="", IFERROR(AND(LEN(Partnere!$I6)=8, VALUE(Partnere!$I6)&gt;=10000000, VALUE(Partnere!$I6)&lt;=99999999, MOD(SUMPRODUCT(MID(VALUE(Partnere!$I6),{1;2;3;4;5;6;7;8}, 1)*1,{2;7;6;5;4;3;2;1}), 11)=0), FALSE))</f>
        <v>1</v>
      </c>
      <c r="C6" s="22" t="b">
        <f>OR(PnrFire="", IFERROR(AND(LEN(PnrFire)=10, VALUE(PnrFire)&gt;=1000000000, VALUE(PnrFire)&lt;=9999999999, MOD(SUMPRODUCT(MID(VALUE(PnrFire),{1;2;3;4;5;6;7;8;9;10}, 1)*1,IF(VALUE(PnrFire)&gt;1006959421,{4;3;2;7;6;5;4;3;2;1},{1;5;6;7;3;6;4;8;9;1})), 11)=0), FALSE))</f>
        <v>1</v>
      </c>
    </row>
    <row r="7" spans="1:9" x14ac:dyDescent="0.25">
      <c r="A7" s="24" t="s">
        <v>633</v>
      </c>
      <c r="B7" s="23" t="b">
        <f>OR(Partnere!$I7="", IFERROR(AND(LEN(Partnere!$I7)=8, VALUE(Partnere!$I7)&gt;=10000000, VALUE(Partnere!$I7)&lt;=99999999, MOD(SUMPRODUCT(MID(VALUE(Partnere!$I7),{1;2;3;4;5;6;7;8}, 1)*1,{2;7;6;5;4;3;2;1}), 11)=0), FALSE))</f>
        <v>1</v>
      </c>
      <c r="C7" s="22" t="b">
        <f>OR(PnrFem="", IFERROR(AND(LEN(PnrFem)=10, VALUE(PnrFem)&gt;=1000000000, VALUE(PnrFem)&lt;=9999999999, MOD(SUMPRODUCT(MID(VALUE(PnrFem),{1;2;3;4;5;6;7;8;9;10}, 1)*1,IF(VALUE(PnrFem)&gt;1006959421,{4;3;2;7;6;5;4;3;2;1},{1;5;6;7;3;6;4;8;9;1})), 11)=0), FALSE))</f>
        <v>1</v>
      </c>
    </row>
    <row r="8" spans="1:9" x14ac:dyDescent="0.25">
      <c r="A8" s="24" t="s">
        <v>634</v>
      </c>
      <c r="B8" s="23" t="b">
        <f>OR(Partnere!$I8="", IFERROR(AND(LEN(Partnere!$I8)=8, VALUE(Partnere!$I8)&gt;=10000000, VALUE(Partnere!$I8)&lt;=99999999, MOD(SUMPRODUCT(MID(VALUE(Partnere!$I8),{1;2;3;4;5;6;7;8}, 1)*1,{2;7;6;5;4;3;2;1}), 11)=0), FALSE))</f>
        <v>1</v>
      </c>
      <c r="C8" s="22" t="b">
        <f>OR(PnrSeks="", IFERROR(AND(LEN(PnrSeks)=10, VALUE(PnrSeks)&gt;=1000000000, VALUE(PnrSeks)&lt;=9999999999, MOD(SUMPRODUCT(MID(VALUE(PnrSeks),{1;2;3;4;5;6;7;8;9;10}, 1)*1,IF(VALUE(PnrSeks)&gt;1006959421,{4;3;2;7;6;5;4;3;2;1},{1;5;6;7;3;6;4;8;9;1})), 11)=0), FALSE))</f>
        <v>1</v>
      </c>
    </row>
    <row r="9" spans="1:9" x14ac:dyDescent="0.25">
      <c r="A9" s="24" t="s">
        <v>635</v>
      </c>
      <c r="B9" s="23" t="b">
        <f>OR(Partnere!$I9="", IFERROR(AND(LEN(Partnere!$I9)=8, VALUE(Partnere!$I9)&gt;=10000000, VALUE(Partnere!$I9)&lt;=99999999, MOD(SUMPRODUCT(MID(VALUE(Partnere!$I9),{1;2;3;4;5;6;7;8}, 1)*1,{2;7;6;5;4;3;2;1}), 11)=0), FALSE))</f>
        <v>1</v>
      </c>
      <c r="C9" s="22" t="b">
        <f>OR(PnrSyv="", IFERROR(AND(LEN(PnrSyv)=10, VALUE(PnrSyv)&gt;=1000000000, VALUE(PnrSyv)&lt;=9999999999, MOD(SUMPRODUCT(MID(VALUE(PnrSyv),{1;2;3;4;5;6;7;8;9;10}, 1)*1,IF(VALUE(PnrSyv)&gt;1006959421,{4;3;2;7;6;5;4;3;2;1},{1;5;6;7;3;6;4;8;9;1})), 11)=0), FALSE))</f>
        <v>1</v>
      </c>
    </row>
    <row r="10" spans="1:9" x14ac:dyDescent="0.25">
      <c r="A10" s="24" t="s">
        <v>636</v>
      </c>
      <c r="B10" s="23" t="b">
        <f>OR(Partnere!$I10="", IFERROR(AND(LEN(Partnere!$I10)=8, VALUE(Partnere!$I10)&gt;=10000000, VALUE(Partnere!$I10)&lt;=99999999, MOD(SUMPRODUCT(MID(VALUE(Partnere!$I10),{1;2;3;4;5;6;7;8}, 1)*1,{2;7;6;5;4;3;2;1}), 11)=0), FALSE))</f>
        <v>1</v>
      </c>
      <c r="C10" s="22" t="b">
        <f>OR(PnrOtte="", IFERROR(AND(LEN(PnrOtte)=10, VALUE(PnrOtte)&gt;=1000000000, VALUE(PnrOtte)&lt;=9999999999, MOD(SUMPRODUCT(MID(VALUE(PnrOtte),{1;2;3;4;5;6;7;8;9;10}, 1)*1,IF(VALUE(PnrOtte)&gt;1006959421,{4;3;2;7;6;5;4;3;2;1},{1;5;6;7;3;6;4;8;9;1})), 11)=0), FALSE))</f>
        <v>1</v>
      </c>
    </row>
    <row r="11" spans="1:9" x14ac:dyDescent="0.25">
      <c r="A11" s="24" t="s">
        <v>637</v>
      </c>
      <c r="B11" s="23" t="b">
        <f>OR(Partnere!$I11="", IFERROR(AND(LEN(Partnere!$I11)=8, VALUE(Partnere!$I11)&gt;=10000000, VALUE(Partnere!$I11)&lt;=99999999, MOD(SUMPRODUCT(MID(VALUE(Partnere!$I11),{1;2;3;4;5;6;7;8}, 1)*1,{2;7;6;5;4;3;2;1}), 11)=0), FALSE))</f>
        <v>1</v>
      </c>
      <c r="C11" s="22" t="b">
        <f>OR(PnrNi="", IFERROR(AND(LEN(PnrNi)=10, VALUE(PnrNi)&gt;=1000000000, VALUE(PnrNi)&lt;=9999999999, MOD(SUMPRODUCT(MID(VALUE(PnrNi),{1;2;3;4;5;6;7;8;9;10}, 1)*1,IF(VALUE(PnrNi)&gt;1006959421,{4;3;2;7;6;5;4;3;2;1},{1;5;6;7;3;6;4;8;9;1})), 11)=0), FALSE))</f>
        <v>1</v>
      </c>
    </row>
    <row r="12" spans="1:9" x14ac:dyDescent="0.25">
      <c r="A12" s="24" t="s">
        <v>740</v>
      </c>
      <c r="B12" s="23" t="b">
        <f>OR(Partnere!$I12="", IFERROR(AND(LEN(Partnere!$I12)=8, VALUE(Partnere!$I12)&gt;=10000000, VALUE(Partnere!$I12)&lt;=99999999, MOD(SUMPRODUCT(MID(VALUE(Partnere!$I12),{1;2;3;4;5;6;7;8}, 1)*1,{2;7;6;5;4;3;2;1}), 11)=0), FALSE))</f>
        <v>1</v>
      </c>
      <c r="C12" s="22" t="b">
        <f>OR(PnrTi="",IFERROR(AND(LEN(PnrTi)=10,VALUE(PnrTi)&gt;=1000000000,VALUE(PnrTi)&lt;=9999999999,MOD(SUMPRODUCT(MID(VALUE(PnrTi),{1;2;3;4;5;6;7;8;9;10},1)*1,IF(VALUE(PnrTi)&gt;1006959421,{4;3;2;7;6;5;4;3;2;1},{1;5;6;7;3;6;4;8;9;1})),11)=0),FALSE))</f>
        <v>1</v>
      </c>
    </row>
  </sheetData>
  <sheetProtection algorithmName="SHA-512" hashValue="q3DnXWwopAMafgdoi7UptL8gqDeK0V4A9VKe2OMbFD13qoSJxqZVrawYUpp6cle5QTwcL/DJMl5Vg22MfYtCMQ==" saltValue="gjYx7Bml+0k9RXbHZpYwzA==" spinCount="100000" sheet="1" objects="1" scenarios="1"/>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2"/>
  <sheetViews>
    <sheetView showGridLines="0" zoomScale="85" zoomScaleNormal="85" workbookViewId="0"/>
  </sheetViews>
  <sheetFormatPr defaultColWidth="8.85546875" defaultRowHeight="15" x14ac:dyDescent="0.25"/>
  <cols>
    <col min="1" max="1" width="11.140625" customWidth="1"/>
    <col min="2" max="2" width="11.42578125" bestFit="1" customWidth="1"/>
  </cols>
  <sheetData>
    <row r="1" spans="1:2" x14ac:dyDescent="0.25">
      <c r="A1" s="8" t="s">
        <v>672</v>
      </c>
      <c r="B1" s="235" t="s">
        <v>767</v>
      </c>
    </row>
    <row r="2" spans="1:2" x14ac:dyDescent="0.25">
      <c r="A2" s="234" t="s">
        <v>768</v>
      </c>
      <c r="B2" s="236" t="s">
        <v>864</v>
      </c>
    </row>
  </sheetData>
  <sheetProtection algorithmName="SHA-512" hashValue="ru7S1LJbPibHtZRT5N2hPdaxBibxEkIHyIyS2MgDZ62u0OAdcsUW9P+4depv5SpbI11U/Edwno6IfWBncVF6Sg==" saltValue="OmOtMFit6/mQcbVukHEzLg=="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emplateType xmlns="e8178312-171c-43e1-b4bd-29c59a02173d">Budget</TemplateType>
    <Language xmlns="e8178312-171c-43e1-b4bd-29c59a02173d">Dansk</Languag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6EF51F60E0E6B408AA3BB8BC5204724" ma:contentTypeVersion="3" ma:contentTypeDescription="Opret et nyt dokument." ma:contentTypeScope="" ma:versionID="11845531fb48fd8d90b7fbf209c7306b">
  <xsd:schema xmlns:xsd="http://www.w3.org/2001/XMLSchema" xmlns:xs="http://www.w3.org/2001/XMLSchema" xmlns:p="http://schemas.microsoft.com/office/2006/metadata/properties" xmlns:ns2="e8178312-171c-43e1-b4bd-29c59a02173d" xmlns:ns3="cd0af3bd-f48f-48bf-a584-2cde8e9b771d" targetNamespace="http://schemas.microsoft.com/office/2006/metadata/properties" ma:root="true" ma:fieldsID="7f7e7687b4a3c7d636434a240503ee2f" ns2:_="" ns3:_="">
    <xsd:import namespace="e8178312-171c-43e1-b4bd-29c59a02173d"/>
    <xsd:import namespace="cd0af3bd-f48f-48bf-a584-2cde8e9b771d"/>
    <xsd:element name="properties">
      <xsd:complexType>
        <xsd:sequence>
          <xsd:element name="documentManagement">
            <xsd:complexType>
              <xsd:all>
                <xsd:element ref="ns2:TemplateType" minOccurs="0"/>
                <xsd:element ref="ns2:Languag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178312-171c-43e1-b4bd-29c59a02173d" elementFormDefault="qualified">
    <xsd:import namespace="http://schemas.microsoft.com/office/2006/documentManagement/types"/>
    <xsd:import namespace="http://schemas.microsoft.com/office/infopath/2007/PartnerControls"/>
    <xsd:element name="TemplateType" ma:index="8" nillable="true" ma:displayName="TemplateType" ma:internalName="TemplateType">
      <xsd:simpleType>
        <xsd:restriction base="dms:Choice">
          <xsd:enumeration value="Afgoerelsesreferat"/>
          <xsd:enumeration value="Afslag"/>
          <xsd:enumeration value="AfslutSag"/>
          <xsd:enumeration value="Allokeringsopgaveadvisering"/>
          <xsd:enumeration value="BegrundAfgoerlse"/>
          <xsd:enumeration value="Bevilling"/>
          <xsd:enumeration value="BevillingsBrev"/>
          <xsd:enumeration value="BevillingsGrundlag"/>
          <xsd:enumeration value="Budget"/>
          <xsd:enumeration value="FagligRapportForbehandling"/>
          <xsd:enumeration value="Forbehandlerskemaskabelon"/>
          <xsd:enumeration value="GDPRadvisering"/>
          <xsd:enumeration value="InnovationsmiljoeHovedark"/>
          <xsd:enumeration value="Invitation"/>
          <xsd:enumeration value="JournalSkabelon"/>
          <xsd:enumeration value="Kommunikation"/>
          <xsd:enumeration value="KontrolAfAendringsanmodning"/>
          <xsd:enumeration value="KontrolAfAndetMateriale"/>
          <xsd:enumeration value="KontrolAfBudget"/>
          <xsd:enumeration value="KontrolAfFagligRapport"/>
          <xsd:enumeration value="KontrolAfInnovationsmiljoe"/>
          <xsd:enumeration value="KontrolAfRegnskab"/>
          <xsd:enumeration value="Kvittering"/>
          <xsd:enumeration value="Mobilisering"/>
          <xsd:enumeration value="Moedeark"/>
          <xsd:enumeration value="Opkraevning"/>
          <xsd:enumeration value="Partshoeringsadvisering"/>
          <xsd:enumeration value="Perioderegnskab"/>
          <xsd:enumeration value="Rebudgettering"/>
          <xsd:enumeration value="RykkerOgReminder"/>
          <xsd:enumeration value="Slutregnskab"/>
          <xsd:enumeration value="Udbetaling"/>
        </xsd:restriction>
      </xsd:simpleType>
    </xsd:element>
    <xsd:element name="Language" ma:index="9" nillable="true" ma:displayName="Language" ma:internalName="Language">
      <xsd:simpleType>
        <xsd:restriction base="dms:Choice">
          <xsd:enumeration value="Dansk"/>
          <xsd:enumeration value="Engelsk"/>
        </xsd:restriction>
      </xsd:simpleType>
    </xsd:element>
  </xsd:schema>
  <xsd:schema xmlns:xsd="http://www.w3.org/2001/XMLSchema" xmlns:xs="http://www.w3.org/2001/XMLSchema" xmlns:dms="http://schemas.microsoft.com/office/2006/documentManagement/types" xmlns:pc="http://schemas.microsoft.com/office/infopath/2007/PartnerControls" targetNamespace="cd0af3bd-f48f-48bf-a584-2cde8e9b771d" elementFormDefault="qualified">
    <xsd:import namespace="http://schemas.microsoft.com/office/2006/documentManagement/types"/>
    <xsd:import namespace="http://schemas.microsoft.com/office/infopath/2007/PartnerControls"/>
    <xsd:element name="SharedWithUsers" ma:index="10"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662CEB-C4F3-48F4-8B43-FC75B125A0AB}">
  <ds:schemaRefs>
    <ds:schemaRef ds:uri="http://schemas.microsoft.com/office/2006/metadata/properties"/>
    <ds:schemaRef ds:uri="cd0af3bd-f48f-48bf-a584-2cde8e9b771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e8178312-171c-43e1-b4bd-29c59a02173d"/>
    <ds:schemaRef ds:uri="http://www.w3.org/XML/1998/namespace"/>
    <ds:schemaRef ds:uri="http://purl.org/dc/dcmitype/"/>
  </ds:schemaRefs>
</ds:datastoreItem>
</file>

<file path=customXml/itemProps2.xml><?xml version="1.0" encoding="utf-8"?>
<ds:datastoreItem xmlns:ds="http://schemas.openxmlformats.org/officeDocument/2006/customXml" ds:itemID="{65967CBA-5CA7-4A2C-A4EE-2AA71B0D577B}">
  <ds:schemaRefs>
    <ds:schemaRef ds:uri="http://schemas.microsoft.com/sharepoint/v3/contenttype/forms"/>
  </ds:schemaRefs>
</ds:datastoreItem>
</file>

<file path=customXml/itemProps3.xml><?xml version="1.0" encoding="utf-8"?>
<ds:datastoreItem xmlns:ds="http://schemas.openxmlformats.org/officeDocument/2006/customXml" ds:itemID="{002B6F22-D5A4-44BE-8022-0349D32C00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178312-171c-43e1-b4bd-29c59a02173d"/>
    <ds:schemaRef ds:uri="cd0af3bd-f48f-48bf-a584-2cde8e9b77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14</vt:i4>
      </vt:variant>
      <vt:variant>
        <vt:lpstr>Navngivne områder</vt:lpstr>
      </vt:variant>
      <vt:variant>
        <vt:i4>51</vt:i4>
      </vt:variant>
    </vt:vector>
  </HeadingPairs>
  <TitlesOfParts>
    <vt:vector size="65" baseType="lpstr">
      <vt:lpstr>Budget</vt:lpstr>
      <vt:lpstr>Institution Tables</vt:lpstr>
      <vt:lpstr>Instructions</vt:lpstr>
      <vt:lpstr>Lookups</vt:lpstr>
      <vt:lpstr>Partnere</vt:lpstr>
      <vt:lpstr>Poster</vt:lpstr>
      <vt:lpstr>Udbetalingsplan</vt:lpstr>
      <vt:lpstr>Validators</vt:lpstr>
      <vt:lpstr>Versionering</vt:lpstr>
      <vt:lpstr>Overview - Participants</vt:lpstr>
      <vt:lpstr>Print_B15 Participants</vt:lpstr>
      <vt:lpstr>Overview - Expenses</vt:lpstr>
      <vt:lpstr>Print_B16 Expenses</vt:lpstr>
      <vt:lpstr>Overhead rates table</vt:lpstr>
      <vt:lpstr>AJ</vt:lpstr>
      <vt:lpstr>Ansøgningsfrist</vt:lpstr>
      <vt:lpstr>CoFinancingE</vt:lpstr>
      <vt:lpstr>CoFinancingP</vt:lpstr>
      <vt:lpstr>EighthYearP</vt:lpstr>
      <vt:lpstr>EightYearE</vt:lpstr>
      <vt:lpstr>Expenses</vt:lpstr>
      <vt:lpstr>FifthYearE</vt:lpstr>
      <vt:lpstr>FifthYearP</vt:lpstr>
      <vt:lpstr>Firstname</vt:lpstr>
      <vt:lpstr>FirstYearE</vt:lpstr>
      <vt:lpstr>FirstYearP</vt:lpstr>
      <vt:lpstr>FourthYearE</vt:lpstr>
      <vt:lpstr>FourthYearP</vt:lpstr>
      <vt:lpstr>InsitutionE</vt:lpstr>
      <vt:lpstr>InsitutionP</vt:lpstr>
      <vt:lpstr>InsitutionT</vt:lpstr>
      <vt:lpstr>NinthYearE</vt:lpstr>
      <vt:lpstr>NinthYearP</vt:lpstr>
      <vt:lpstr>OtherE</vt:lpstr>
      <vt:lpstr>OtherP</vt:lpstr>
      <vt:lpstr>OverheadT</vt:lpstr>
      <vt:lpstr>Participants</vt:lpstr>
      <vt:lpstr>Participants2</vt:lpstr>
      <vt:lpstr>PnrA</vt:lpstr>
      <vt:lpstr>PnrEt</vt:lpstr>
      <vt:lpstr>PnrFem</vt:lpstr>
      <vt:lpstr>PnrFire</vt:lpstr>
      <vt:lpstr>PnrNi</vt:lpstr>
      <vt:lpstr>PnrOtte</vt:lpstr>
      <vt:lpstr>PnrSeks</vt:lpstr>
      <vt:lpstr>PnrSyv</vt:lpstr>
      <vt:lpstr>PnrTi</vt:lpstr>
      <vt:lpstr>PnrTo</vt:lpstr>
      <vt:lpstr>PnrTre</vt:lpstr>
      <vt:lpstr>Position</vt:lpstr>
      <vt:lpstr>ProjektSlut</vt:lpstr>
      <vt:lpstr>ProjektStart</vt:lpstr>
      <vt:lpstr>SecondYearE</vt:lpstr>
      <vt:lpstr>SecondYearP</vt:lpstr>
      <vt:lpstr>SeventhYearE</vt:lpstr>
      <vt:lpstr>SeventhYearP</vt:lpstr>
      <vt:lpstr>SixthYearE</vt:lpstr>
      <vt:lpstr>SixthYearP</vt:lpstr>
      <vt:lpstr>Surname</vt:lpstr>
      <vt:lpstr>ThirdYearE</vt:lpstr>
      <vt:lpstr>ThirdYearP</vt:lpstr>
      <vt:lpstr>'Overview - Participants'!Udskriftsområde</vt:lpstr>
      <vt:lpstr>'Print_B16 Expenses'!Udskriftsområde</vt:lpstr>
      <vt:lpstr>'Overview - Participants'!Udskriftstitler</vt:lpstr>
      <vt:lpstr>'Print_B15 Participants'!Udskriftstitler</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DFF - Budget - stort budget</dc:title>
  <dc:creator>Christel Christiansen</dc:creator>
  <cp:lastModifiedBy>Helle Østergaard</cp:lastModifiedBy>
  <cp:lastPrinted>2020-07-01T07:44:16Z</cp:lastPrinted>
  <dcterms:created xsi:type="dcterms:W3CDTF">2017-02-08T13:26:30Z</dcterms:created>
  <dcterms:modified xsi:type="dcterms:W3CDTF">2020-07-01T07:45:55Z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0x01010096EF51F60E0E6B408AA3BB8BC5204724</vt:lpwstr>
  </property>
</Properties>
</file>